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10上下水道局\101020営業課\02_料金営業担当\1_水道料金関係\15_料金表・料金計算\7 水道料金早見表_市民・事業者への物価高騰対策_R04.10.01～R05.03.31\"/>
    </mc:Choice>
  </mc:AlternateContent>
  <bookViews>
    <workbookView xWindow="240" yWindow="45" windowWidth="14925" windowHeight="8985" tabRatio="601"/>
  </bookViews>
  <sheets>
    <sheet name="新水道料金計算" sheetId="17" r:id="rId1"/>
    <sheet name="（減額後）新水道計算式" sheetId="16" r:id="rId2"/>
    <sheet name="（減額前）新水道計算式" sheetId="18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54" i="18" l="1"/>
  <c r="H45" i="18"/>
  <c r="H3" i="18"/>
  <c r="H14" i="18"/>
  <c r="T63" i="18" l="1"/>
  <c r="T45" i="18"/>
  <c r="B68" i="18"/>
  <c r="B50" i="18"/>
  <c r="B10" i="18"/>
  <c r="T3" i="18"/>
  <c r="V3" i="18" s="1"/>
  <c r="I3" i="18" l="1"/>
  <c r="V4" i="18"/>
  <c r="T21" i="18" s="1"/>
  <c r="Q3" i="18"/>
  <c r="E15" i="18"/>
  <c r="W15" i="18"/>
  <c r="E16" i="18"/>
  <c r="W16" i="18"/>
  <c r="E17" i="18"/>
  <c r="W17" i="18"/>
  <c r="E18" i="18"/>
  <c r="W18" i="18"/>
  <c r="I25" i="18"/>
  <c r="J25" i="18" s="1"/>
  <c r="T25" i="18"/>
  <c r="U25" i="18" s="1"/>
  <c r="U26" i="18" s="1"/>
  <c r="B41" i="18" s="1"/>
  <c r="V25" i="18"/>
  <c r="V26" i="18" s="1"/>
  <c r="T41" i="18" s="1"/>
  <c r="F26" i="18"/>
  <c r="F27" i="18"/>
  <c r="F28" i="18" s="1"/>
  <c r="F29" i="18" s="1"/>
  <c r="F30" i="18" s="1"/>
  <c r="B31" i="18"/>
  <c r="L25" i="18" s="1"/>
  <c r="R25" i="18" s="1"/>
  <c r="D31" i="18" s="1"/>
  <c r="H35" i="18"/>
  <c r="J35" i="18" s="1"/>
  <c r="I35" i="18"/>
  <c r="Z35" i="18"/>
  <c r="AB35" i="18" s="1"/>
  <c r="AA35" i="18"/>
  <c r="E36" i="18"/>
  <c r="F36" i="18" s="1"/>
  <c r="W36" i="18"/>
  <c r="X36" i="18"/>
  <c r="E37" i="18"/>
  <c r="W37" i="18"/>
  <c r="X37" i="18"/>
  <c r="E38" i="18"/>
  <c r="W38" i="18"/>
  <c r="X38" i="18" s="1"/>
  <c r="E39" i="18"/>
  <c r="W39" i="18"/>
  <c r="E40" i="18"/>
  <c r="W40" i="18"/>
  <c r="I45" i="18"/>
  <c r="U45" i="18"/>
  <c r="U46" i="18" s="1"/>
  <c r="B59" i="18" s="1"/>
  <c r="E47" i="18"/>
  <c r="W56" i="18" s="1"/>
  <c r="E48" i="18"/>
  <c r="E57" i="18" s="1"/>
  <c r="O45" i="18"/>
  <c r="I54" i="18"/>
  <c r="E55" i="18"/>
  <c r="W55" i="18"/>
  <c r="W57" i="18"/>
  <c r="E58" i="18"/>
  <c r="W58" i="18"/>
  <c r="I63" i="18"/>
  <c r="J63" i="18" s="1"/>
  <c r="U63" i="18"/>
  <c r="U64" i="18" s="1"/>
  <c r="B77" i="18" s="1"/>
  <c r="F64" i="18"/>
  <c r="F65" i="18" s="1"/>
  <c r="H64" i="18"/>
  <c r="I64" i="18" s="1"/>
  <c r="L63" i="18"/>
  <c r="R63" i="18" s="1"/>
  <c r="D68" i="18" s="1"/>
  <c r="J22" i="17" s="1"/>
  <c r="I72" i="18"/>
  <c r="J72" i="18"/>
  <c r="AA72" i="18"/>
  <c r="AB72" i="18"/>
  <c r="F73" i="18"/>
  <c r="F74" i="18" s="1"/>
  <c r="F75" i="18" s="1"/>
  <c r="F76" i="18" s="1"/>
  <c r="X73" i="18"/>
  <c r="X74" i="18"/>
  <c r="X75" i="18" s="1"/>
  <c r="X76" i="18" s="1"/>
  <c r="F15" i="18" l="1"/>
  <c r="F16" i="18" s="1"/>
  <c r="J64" i="18"/>
  <c r="Q45" i="18"/>
  <c r="V63" i="18"/>
  <c r="V64" i="18" s="1"/>
  <c r="J54" i="18"/>
  <c r="Z54" i="18"/>
  <c r="X55" i="18" s="1"/>
  <c r="X56" i="18" s="1"/>
  <c r="X57" i="18" s="1"/>
  <c r="X58" i="18" s="1"/>
  <c r="U3" i="18"/>
  <c r="U4" i="18" s="1"/>
  <c r="B21" i="18" s="1"/>
  <c r="N14" i="18" s="1"/>
  <c r="L35" i="18"/>
  <c r="R35" i="18" s="1"/>
  <c r="D41" i="18" s="1"/>
  <c r="M35" i="18"/>
  <c r="N35" i="18"/>
  <c r="H36" i="18"/>
  <c r="Q35" i="18"/>
  <c r="O35" i="18"/>
  <c r="H37" i="18"/>
  <c r="L54" i="18"/>
  <c r="M54" i="18"/>
  <c r="N54" i="18"/>
  <c r="Q54" i="18"/>
  <c r="O54" i="18"/>
  <c r="Z37" i="18"/>
  <c r="AD34" i="18"/>
  <c r="AJ34" i="18" s="1"/>
  <c r="V41" i="18" s="1"/>
  <c r="Z38" i="18"/>
  <c r="AE34" i="18"/>
  <c r="AF34" i="18"/>
  <c r="Z40" i="18"/>
  <c r="Z36" i="18"/>
  <c r="AG34" i="18"/>
  <c r="AI34" i="18"/>
  <c r="F66" i="18"/>
  <c r="H65" i="18"/>
  <c r="H76" i="18"/>
  <c r="H74" i="18"/>
  <c r="L72" i="18"/>
  <c r="R72" i="18" s="1"/>
  <c r="D77" i="18" s="1"/>
  <c r="H75" i="18"/>
  <c r="H73" i="18"/>
  <c r="F37" i="18"/>
  <c r="F38" i="18" s="1"/>
  <c r="AD13" i="18"/>
  <c r="AE13" i="18"/>
  <c r="AF13" i="18"/>
  <c r="AG13" i="18"/>
  <c r="AH13" i="18"/>
  <c r="AI13" i="18"/>
  <c r="X40" i="18"/>
  <c r="Z14" i="18"/>
  <c r="I14" i="18"/>
  <c r="J14" i="18" s="1"/>
  <c r="N45" i="18"/>
  <c r="H27" i="18"/>
  <c r="M45" i="18"/>
  <c r="E56" i="18"/>
  <c r="F55" i="18"/>
  <c r="H55" i="18" s="1"/>
  <c r="F46" i="18"/>
  <c r="F47" i="18" s="1"/>
  <c r="L45" i="18"/>
  <c r="Q25" i="18"/>
  <c r="N3" i="18"/>
  <c r="H29" i="18"/>
  <c r="P3" i="18"/>
  <c r="H30" i="18"/>
  <c r="O3" i="18"/>
  <c r="V45" i="18"/>
  <c r="V46" i="18" s="1"/>
  <c r="T59" i="18" s="1"/>
  <c r="J45" i="18"/>
  <c r="O25" i="18"/>
  <c r="F4" i="18"/>
  <c r="F5" i="18" s="1"/>
  <c r="F6" i="18" s="1"/>
  <c r="F7" i="18" s="1"/>
  <c r="F8" i="18" s="1"/>
  <c r="M3" i="18"/>
  <c r="H28" i="18"/>
  <c r="N25" i="18"/>
  <c r="L3" i="18"/>
  <c r="X39" i="18"/>
  <c r="Z39" i="18" s="1"/>
  <c r="H26" i="18"/>
  <c r="M25" i="18"/>
  <c r="J3" i="18"/>
  <c r="T77" i="18" l="1"/>
  <c r="Z74" i="18" s="1"/>
  <c r="AA74" i="18" s="1"/>
  <c r="AB74" i="18" s="1"/>
  <c r="H47" i="18"/>
  <c r="I47" i="18" s="1"/>
  <c r="J47" i="18" s="1"/>
  <c r="F48" i="18"/>
  <c r="H48" i="18" s="1"/>
  <c r="I48" i="18" s="1"/>
  <c r="J48" i="18" s="1"/>
  <c r="H46" i="18"/>
  <c r="I46" i="18" s="1"/>
  <c r="J46" i="18" s="1"/>
  <c r="Z76" i="18"/>
  <c r="AA76" i="18" s="1"/>
  <c r="AB76" i="18" s="1"/>
  <c r="Q14" i="18"/>
  <c r="L14" i="18"/>
  <c r="M14" i="18"/>
  <c r="H16" i="18"/>
  <c r="I16" i="18" s="1"/>
  <c r="J16" i="18" s="1"/>
  <c r="AD72" i="18"/>
  <c r="AJ72" i="18" s="1"/>
  <c r="V77" i="18" s="1"/>
  <c r="W67" i="18" s="1"/>
  <c r="Z75" i="18"/>
  <c r="H4" i="18"/>
  <c r="Z73" i="18"/>
  <c r="AA73" i="18" s="1"/>
  <c r="AB73" i="18" s="1"/>
  <c r="F17" i="18"/>
  <c r="F18" i="18" s="1"/>
  <c r="F19" i="18" s="1"/>
  <c r="R45" i="18"/>
  <c r="D50" i="18" s="1"/>
  <c r="J16" i="17" s="1"/>
  <c r="AA54" i="18"/>
  <c r="AB54" i="18" s="1"/>
  <c r="H7" i="18"/>
  <c r="I7" i="18" s="1"/>
  <c r="J7" i="18" s="1"/>
  <c r="H15" i="18"/>
  <c r="I15" i="18" s="1"/>
  <c r="J15" i="18" s="1"/>
  <c r="O14" i="18"/>
  <c r="P14" i="18"/>
  <c r="AJ13" i="18"/>
  <c r="V21" i="18" s="1"/>
  <c r="I55" i="18"/>
  <c r="J55" i="18" s="1"/>
  <c r="AA39" i="18"/>
  <c r="AB39" i="18" s="1"/>
  <c r="F39" i="18"/>
  <c r="H38" i="18"/>
  <c r="I27" i="18"/>
  <c r="J27" i="18" s="1"/>
  <c r="AA36" i="18"/>
  <c r="AB36" i="18" s="1"/>
  <c r="I37" i="18"/>
  <c r="J37" i="18" s="1"/>
  <c r="I30" i="18"/>
  <c r="J30" i="18" s="1"/>
  <c r="I73" i="18"/>
  <c r="J73" i="18" s="1"/>
  <c r="I65" i="18"/>
  <c r="J65" i="18" s="1"/>
  <c r="F49" i="18"/>
  <c r="H49" i="18" s="1"/>
  <c r="AA14" i="18"/>
  <c r="AB14" i="18" s="1"/>
  <c r="X15" i="18"/>
  <c r="I75" i="18"/>
  <c r="J75" i="18" s="1"/>
  <c r="H66" i="18"/>
  <c r="F67" i="18"/>
  <c r="H67" i="18" s="1"/>
  <c r="H5" i="18"/>
  <c r="I36" i="18"/>
  <c r="J36" i="18" s="1"/>
  <c r="AA75" i="18"/>
  <c r="U66" i="18"/>
  <c r="W66" i="18"/>
  <c r="C22" i="17" s="1"/>
  <c r="AA38" i="18"/>
  <c r="AB38" i="18" s="1"/>
  <c r="R54" i="18"/>
  <c r="D59" i="18" s="1"/>
  <c r="AA40" i="18"/>
  <c r="AB40" i="18" s="1"/>
  <c r="I26" i="18"/>
  <c r="J26" i="18" s="1"/>
  <c r="F56" i="18"/>
  <c r="H56" i="18" s="1"/>
  <c r="I74" i="18"/>
  <c r="J74" i="18" s="1"/>
  <c r="U29" i="18"/>
  <c r="W29" i="18"/>
  <c r="I29" i="18"/>
  <c r="J29" i="18" s="1"/>
  <c r="H6" i="18"/>
  <c r="I76" i="18"/>
  <c r="J76" i="18" s="1"/>
  <c r="AA37" i="18"/>
  <c r="AB37" i="18"/>
  <c r="U28" i="18"/>
  <c r="W28" i="18"/>
  <c r="Z55" i="18"/>
  <c r="Z56" i="18"/>
  <c r="AD53" i="18"/>
  <c r="Z57" i="18"/>
  <c r="AF53" i="18"/>
  <c r="AE53" i="18"/>
  <c r="Z58" i="18"/>
  <c r="AI53" i="18"/>
  <c r="AG53" i="18"/>
  <c r="I28" i="18"/>
  <c r="J28" i="18"/>
  <c r="H8" i="18"/>
  <c r="F9" i="18"/>
  <c r="H9" i="18" s="1"/>
  <c r="R3" i="18"/>
  <c r="D10" i="18" s="1"/>
  <c r="B10" i="16"/>
  <c r="H17" i="18" l="1"/>
  <c r="R14" i="18"/>
  <c r="D21" i="18" s="1"/>
  <c r="U6" i="18" s="1"/>
  <c r="AB75" i="18"/>
  <c r="I4" i="18"/>
  <c r="J4" i="18" s="1"/>
  <c r="J8" i="17" s="1"/>
  <c r="U67" i="18"/>
  <c r="F20" i="18"/>
  <c r="H20" i="18" s="1"/>
  <c r="I20" i="18" s="1"/>
  <c r="J20" i="18" s="1"/>
  <c r="H19" i="18"/>
  <c r="I19" i="18" s="1"/>
  <c r="J19" i="18" s="1"/>
  <c r="H18" i="18"/>
  <c r="I18" i="18" s="1"/>
  <c r="J18" i="18" s="1"/>
  <c r="I66" i="18"/>
  <c r="J66" i="18" s="1"/>
  <c r="I17" i="18"/>
  <c r="J17" i="18" s="1"/>
  <c r="AA57" i="18"/>
  <c r="AB57" i="18" s="1"/>
  <c r="W6" i="18"/>
  <c r="F40" i="18"/>
  <c r="H40" i="18" s="1"/>
  <c r="H39" i="18"/>
  <c r="I5" i="18"/>
  <c r="J5" i="18" s="1"/>
  <c r="I9" i="18"/>
  <c r="J9" i="18" s="1"/>
  <c r="U48" i="18"/>
  <c r="W48" i="18"/>
  <c r="Z15" i="18"/>
  <c r="X16" i="18"/>
  <c r="I49" i="18"/>
  <c r="J49" i="18" s="1"/>
  <c r="AJ53" i="18"/>
  <c r="V59" i="18" s="1"/>
  <c r="AA55" i="18"/>
  <c r="AB55" i="18" s="1"/>
  <c r="I6" i="18"/>
  <c r="J6" i="18" s="1"/>
  <c r="F57" i="18"/>
  <c r="I67" i="18"/>
  <c r="J67" i="18" s="1"/>
  <c r="I8" i="18"/>
  <c r="J8" i="18" s="1"/>
  <c r="AA56" i="18"/>
  <c r="AB56" i="18" s="1"/>
  <c r="AA58" i="18"/>
  <c r="AB58" i="18" s="1"/>
  <c r="I56" i="18"/>
  <c r="J56" i="18" s="1"/>
  <c r="I38" i="18"/>
  <c r="J38" i="18" s="1"/>
  <c r="W73" i="16"/>
  <c r="E73" i="16"/>
  <c r="W15" i="16"/>
  <c r="W16" i="16"/>
  <c r="W17" i="16"/>
  <c r="W18" i="16"/>
  <c r="W19" i="16"/>
  <c r="W20" i="16"/>
  <c r="W14" i="16"/>
  <c r="W58" i="16"/>
  <c r="AA15" i="18" l="1"/>
  <c r="AB15" i="18" s="1"/>
  <c r="W49" i="18"/>
  <c r="C16" i="17" s="1"/>
  <c r="U49" i="18"/>
  <c r="X17" i="18"/>
  <c r="Z16" i="18"/>
  <c r="U7" i="18" s="1"/>
  <c r="I40" i="18"/>
  <c r="J40" i="18" s="1"/>
  <c r="H57" i="18"/>
  <c r="F58" i="18"/>
  <c r="H58" i="18" s="1"/>
  <c r="I39" i="18"/>
  <c r="J39" i="18" s="1"/>
  <c r="AA72" i="16"/>
  <c r="I72" i="16"/>
  <c r="I63" i="16"/>
  <c r="I57" i="18" l="1"/>
  <c r="J57" i="18" s="1"/>
  <c r="AA16" i="18"/>
  <c r="AB16" i="18" s="1"/>
  <c r="W7" i="18" s="1"/>
  <c r="C8" i="17" s="1"/>
  <c r="X18" i="18"/>
  <c r="Z17" i="18"/>
  <c r="I58" i="18"/>
  <c r="J58" i="18" s="1"/>
  <c r="H45" i="16"/>
  <c r="H54" i="16"/>
  <c r="H14" i="16"/>
  <c r="H3" i="16"/>
  <c r="AB72" i="16"/>
  <c r="J72" i="16"/>
  <c r="J63" i="16"/>
  <c r="I25" i="16"/>
  <c r="J25" i="16"/>
  <c r="L3" i="16"/>
  <c r="T3" i="16"/>
  <c r="U3" i="16" s="1"/>
  <c r="U4" i="16" s="1"/>
  <c r="B21" i="16" s="1"/>
  <c r="T63" i="16"/>
  <c r="U63" i="16" s="1"/>
  <c r="U64" i="16" s="1"/>
  <c r="B77" i="16" s="1"/>
  <c r="B68" i="16"/>
  <c r="L63" i="16" s="1"/>
  <c r="R63" i="16" s="1"/>
  <c r="D68" i="16" s="1"/>
  <c r="J23" i="17" s="1"/>
  <c r="J24" i="17" s="1"/>
  <c r="B50" i="16"/>
  <c r="L45" i="16" s="1"/>
  <c r="T45" i="16"/>
  <c r="U45" i="16" s="1"/>
  <c r="U46" i="16" s="1"/>
  <c r="B59" i="16" s="1"/>
  <c r="X73" i="16"/>
  <c r="X74" i="16"/>
  <c r="X75" i="16" s="1"/>
  <c r="X76" i="16" s="1"/>
  <c r="F73" i="16"/>
  <c r="F74" i="16" s="1"/>
  <c r="F75" i="16" s="1"/>
  <c r="F76" i="16" s="1"/>
  <c r="B31" i="16"/>
  <c r="L25" i="16" s="1"/>
  <c r="T25" i="16"/>
  <c r="U25" i="16" s="1"/>
  <c r="U26" i="16" s="1"/>
  <c r="B41" i="16" s="1"/>
  <c r="F64" i="16"/>
  <c r="W55" i="16"/>
  <c r="E58" i="16"/>
  <c r="E55" i="16"/>
  <c r="W37" i="16"/>
  <c r="W38" i="16"/>
  <c r="W39" i="16"/>
  <c r="W40" i="16"/>
  <c r="W36" i="16"/>
  <c r="X36" i="16" s="1"/>
  <c r="E37" i="16"/>
  <c r="E57" i="16"/>
  <c r="E38" i="16"/>
  <c r="E39" i="16"/>
  <c r="E40" i="16"/>
  <c r="E36" i="16"/>
  <c r="Z35" i="16"/>
  <c r="AA35" i="16" s="1"/>
  <c r="AB35" i="16" s="1"/>
  <c r="H35" i="16"/>
  <c r="I35" i="16"/>
  <c r="J35" i="16" s="1"/>
  <c r="F26" i="16"/>
  <c r="F27" i="16"/>
  <c r="F65" i="16"/>
  <c r="F66" i="16" s="1"/>
  <c r="F67" i="16" s="1"/>
  <c r="F28" i="16"/>
  <c r="F29" i="16" s="1"/>
  <c r="F30" i="16" s="1"/>
  <c r="W57" i="16"/>
  <c r="X19" i="18" l="1"/>
  <c r="Z18" i="18"/>
  <c r="AA17" i="18"/>
  <c r="AB17" i="18" s="1"/>
  <c r="H26" i="16"/>
  <c r="I26" i="16" s="1"/>
  <c r="J26" i="16" s="1"/>
  <c r="H30" i="16"/>
  <c r="I30" i="16" s="1"/>
  <c r="J30" i="16" s="1"/>
  <c r="Q45" i="16"/>
  <c r="Z54" i="16"/>
  <c r="AA54" i="16" s="1"/>
  <c r="I54" i="16"/>
  <c r="J54" i="16" s="1"/>
  <c r="F46" i="16"/>
  <c r="H46" i="16" s="1"/>
  <c r="I45" i="16"/>
  <c r="J45" i="16" s="1"/>
  <c r="I3" i="16"/>
  <c r="J3" i="16" s="1"/>
  <c r="I14" i="16"/>
  <c r="J14" i="16" s="1"/>
  <c r="E56" i="16"/>
  <c r="W56" i="16"/>
  <c r="X37" i="16"/>
  <c r="X38" i="16" s="1"/>
  <c r="X39" i="16" s="1"/>
  <c r="X40" i="16" s="1"/>
  <c r="F36" i="16"/>
  <c r="F37" i="16" s="1"/>
  <c r="F38" i="16" s="1"/>
  <c r="F39" i="16" s="1"/>
  <c r="F40" i="16" s="1"/>
  <c r="H40" i="16" s="1"/>
  <c r="F15" i="16"/>
  <c r="F16" i="16" s="1"/>
  <c r="F17" i="16" s="1"/>
  <c r="F18" i="16" s="1"/>
  <c r="F19" i="16" s="1"/>
  <c r="F20" i="16" s="1"/>
  <c r="H20" i="16" s="1"/>
  <c r="I20" i="16" s="1"/>
  <c r="Z14" i="16"/>
  <c r="AA14" i="16" s="1"/>
  <c r="M25" i="16"/>
  <c r="H28" i="16"/>
  <c r="I28" i="16" s="1"/>
  <c r="J28" i="16" s="1"/>
  <c r="H66" i="16"/>
  <c r="V3" i="16"/>
  <c r="V4" i="16" s="1"/>
  <c r="T21" i="16" s="1"/>
  <c r="AH13" i="16" s="1"/>
  <c r="V25" i="16"/>
  <c r="V26" i="16" s="1"/>
  <c r="T41" i="16" s="1"/>
  <c r="AD34" i="16" s="1"/>
  <c r="N25" i="16"/>
  <c r="Q25" i="16"/>
  <c r="O25" i="16"/>
  <c r="H29" i="16"/>
  <c r="I29" i="16" s="1"/>
  <c r="J29" i="16" s="1"/>
  <c r="H27" i="16"/>
  <c r="I27" i="16" s="1"/>
  <c r="J27" i="16" s="1"/>
  <c r="V63" i="16"/>
  <c r="V64" i="16" s="1"/>
  <c r="T77" i="16" s="1"/>
  <c r="AD72" i="16" s="1"/>
  <c r="AJ72" i="16" s="1"/>
  <c r="V77" i="16" s="1"/>
  <c r="H67" i="16"/>
  <c r="H65" i="16"/>
  <c r="H64" i="16"/>
  <c r="N45" i="16"/>
  <c r="M45" i="16"/>
  <c r="O45" i="16"/>
  <c r="M3" i="16"/>
  <c r="P3" i="16"/>
  <c r="Q3" i="16"/>
  <c r="F4" i="16"/>
  <c r="F5" i="16" s="1"/>
  <c r="F6" i="16" s="1"/>
  <c r="H6" i="16" s="1"/>
  <c r="F55" i="16"/>
  <c r="F56" i="16" s="1"/>
  <c r="F57" i="16" s="1"/>
  <c r="F58" i="16" s="1"/>
  <c r="H58" i="16" s="1"/>
  <c r="I58" i="16" s="1"/>
  <c r="R25" i="16"/>
  <c r="D31" i="16" s="1"/>
  <c r="V45" i="16"/>
  <c r="V46" i="16" s="1"/>
  <c r="T59" i="16" s="1"/>
  <c r="AF53" i="16" s="1"/>
  <c r="O3" i="16"/>
  <c r="N3" i="16"/>
  <c r="O54" i="16"/>
  <c r="L54" i="16"/>
  <c r="N54" i="16"/>
  <c r="Q54" i="16"/>
  <c r="M54" i="16"/>
  <c r="H73" i="16"/>
  <c r="I73" i="16" s="1"/>
  <c r="H74" i="16"/>
  <c r="I74" i="16" s="1"/>
  <c r="H75" i="16"/>
  <c r="I75" i="16" s="1"/>
  <c r="H76" i="16"/>
  <c r="I76" i="16" s="1"/>
  <c r="L72" i="16"/>
  <c r="R72" i="16" s="1"/>
  <c r="D77" i="16" s="1"/>
  <c r="U66" i="16" s="1"/>
  <c r="H36" i="16"/>
  <c r="L35" i="16"/>
  <c r="N35" i="16"/>
  <c r="H38" i="16"/>
  <c r="M35" i="16"/>
  <c r="Q35" i="16"/>
  <c r="O35" i="16"/>
  <c r="M14" i="16"/>
  <c r="N14" i="16"/>
  <c r="P14" i="16"/>
  <c r="Q14" i="16"/>
  <c r="L14" i="16"/>
  <c r="O14" i="16"/>
  <c r="X20" i="18" l="1"/>
  <c r="Z20" i="18" s="1"/>
  <c r="Z19" i="18"/>
  <c r="AA18" i="18"/>
  <c r="AB18" i="18" s="1"/>
  <c r="F47" i="16"/>
  <c r="F48" i="16" s="1"/>
  <c r="H48" i="16" s="1"/>
  <c r="I48" i="16" s="1"/>
  <c r="AG34" i="16"/>
  <c r="AG53" i="16"/>
  <c r="Z40" i="16"/>
  <c r="AI53" i="16"/>
  <c r="Z74" i="16"/>
  <c r="AA74" i="16" s="1"/>
  <c r="AB54" i="16"/>
  <c r="H15" i="16"/>
  <c r="I15" i="16" s="1"/>
  <c r="X55" i="16"/>
  <c r="X56" i="16" s="1"/>
  <c r="X57" i="16" s="1"/>
  <c r="H18" i="16"/>
  <c r="H17" i="16"/>
  <c r="I17" i="16" s="1"/>
  <c r="H19" i="16"/>
  <c r="I19" i="16" s="1"/>
  <c r="H16" i="16"/>
  <c r="I16" i="16" s="1"/>
  <c r="I65" i="16"/>
  <c r="J65" i="16" s="1"/>
  <c r="I64" i="16"/>
  <c r="J64" i="16" s="1"/>
  <c r="I67" i="16"/>
  <c r="J67" i="16" s="1"/>
  <c r="I66" i="16"/>
  <c r="J66" i="16" s="1"/>
  <c r="I46" i="16"/>
  <c r="J46" i="16" s="1"/>
  <c r="AI13" i="16"/>
  <c r="H39" i="16"/>
  <c r="I39" i="16" s="1"/>
  <c r="J39" i="16" s="1"/>
  <c r="H37" i="16"/>
  <c r="I37" i="16" s="1"/>
  <c r="J37" i="16" s="1"/>
  <c r="H55" i="16"/>
  <c r="I55" i="16" s="1"/>
  <c r="Z76" i="16"/>
  <c r="AA76" i="16" s="1"/>
  <c r="Z37" i="16"/>
  <c r="AA37" i="16" s="1"/>
  <c r="AB37" i="16" s="1"/>
  <c r="H5" i="16"/>
  <c r="Z73" i="16"/>
  <c r="AA73" i="16" s="1"/>
  <c r="AB14" i="16"/>
  <c r="X15" i="16"/>
  <c r="AF13" i="16"/>
  <c r="AD13" i="16"/>
  <c r="AE13" i="16"/>
  <c r="AG13" i="16"/>
  <c r="H56" i="16"/>
  <c r="Z75" i="16"/>
  <c r="AA75" i="16" s="1"/>
  <c r="H57" i="16"/>
  <c r="R45" i="16"/>
  <c r="D50" i="16" s="1"/>
  <c r="J17" i="17" s="1"/>
  <c r="J18" i="17" s="1"/>
  <c r="AD53" i="16"/>
  <c r="AE53" i="16"/>
  <c r="AE34" i="16"/>
  <c r="AF34" i="16"/>
  <c r="AJ34" i="16" s="1"/>
  <c r="V41" i="16" s="1"/>
  <c r="Z39" i="16"/>
  <c r="AA39" i="16" s="1"/>
  <c r="AB39" i="16" s="1"/>
  <c r="Z38" i="16"/>
  <c r="AA38" i="16" s="1"/>
  <c r="AB38" i="16" s="1"/>
  <c r="AI34" i="16"/>
  <c r="Z36" i="16"/>
  <c r="AA36" i="16" s="1"/>
  <c r="AB36" i="16" s="1"/>
  <c r="H4" i="16"/>
  <c r="R3" i="16"/>
  <c r="D10" i="16" s="1"/>
  <c r="I6" i="16"/>
  <c r="F7" i="16"/>
  <c r="I38" i="16"/>
  <c r="J38" i="16" s="1"/>
  <c r="I36" i="16"/>
  <c r="J36" i="16" s="1"/>
  <c r="AA40" i="16"/>
  <c r="AB40" i="16" s="1"/>
  <c r="J75" i="16"/>
  <c r="J73" i="16"/>
  <c r="W66" i="16" s="1"/>
  <c r="J58" i="16"/>
  <c r="R35" i="16"/>
  <c r="D41" i="16" s="1"/>
  <c r="R54" i="16"/>
  <c r="D59" i="16" s="1"/>
  <c r="J20" i="16"/>
  <c r="I40" i="16"/>
  <c r="J40" i="16" s="1"/>
  <c r="J76" i="16"/>
  <c r="J74" i="16"/>
  <c r="R14" i="16"/>
  <c r="D21" i="16" s="1"/>
  <c r="AA19" i="18" l="1"/>
  <c r="AB19" i="18" s="1"/>
  <c r="AA20" i="18"/>
  <c r="AB20" i="18" s="1"/>
  <c r="U6" i="16"/>
  <c r="AB73" i="16"/>
  <c r="W67" i="16" s="1"/>
  <c r="C23" i="17" s="1"/>
  <c r="C24" i="17" s="1"/>
  <c r="AB76" i="16"/>
  <c r="F49" i="16"/>
  <c r="H49" i="16" s="1"/>
  <c r="J48" i="16"/>
  <c r="I18" i="16"/>
  <c r="J18" i="16" s="1"/>
  <c r="H47" i="16"/>
  <c r="I47" i="16" s="1"/>
  <c r="J47" i="16" s="1"/>
  <c r="X58" i="16"/>
  <c r="Z58" i="16" s="1"/>
  <c r="AA58" i="16" s="1"/>
  <c r="Z57" i="16"/>
  <c r="AA57" i="16" s="1"/>
  <c r="AB57" i="16" s="1"/>
  <c r="Z55" i="16"/>
  <c r="AA55" i="16" s="1"/>
  <c r="AB55" i="16" s="1"/>
  <c r="J55" i="16"/>
  <c r="AB75" i="16"/>
  <c r="AB74" i="16"/>
  <c r="U67" i="16"/>
  <c r="AJ53" i="16"/>
  <c r="V59" i="16" s="1"/>
  <c r="U49" i="16" s="1"/>
  <c r="J19" i="16"/>
  <c r="J15" i="16"/>
  <c r="J16" i="16"/>
  <c r="J17" i="16"/>
  <c r="Z56" i="16"/>
  <c r="AA56" i="16" s="1"/>
  <c r="AB56" i="16" s="1"/>
  <c r="I57" i="16"/>
  <c r="J57" i="16" s="1"/>
  <c r="I56" i="16"/>
  <c r="J56" i="16" s="1"/>
  <c r="I5" i="16"/>
  <c r="J5" i="16" s="1"/>
  <c r="I4" i="16"/>
  <c r="J4" i="16" s="1"/>
  <c r="J9" i="17" s="1"/>
  <c r="J10" i="17" s="1"/>
  <c r="AJ13" i="16"/>
  <c r="V21" i="16" s="1"/>
  <c r="X16" i="16"/>
  <c r="Z15" i="16"/>
  <c r="U29" i="16"/>
  <c r="W29" i="16"/>
  <c r="W48" i="16"/>
  <c r="U48" i="16"/>
  <c r="W28" i="16"/>
  <c r="U28" i="16"/>
  <c r="J6" i="16"/>
  <c r="F8" i="16"/>
  <c r="H7" i="16"/>
  <c r="I7" i="16" s="1"/>
  <c r="W6" i="16" l="1"/>
  <c r="AB58" i="16"/>
  <c r="I49" i="16"/>
  <c r="J49" i="16" s="1"/>
  <c r="W49" i="16"/>
  <c r="C17" i="17" s="1"/>
  <c r="C18" i="17" s="1"/>
  <c r="AA15" i="16"/>
  <c r="AB15" i="16" s="1"/>
  <c r="X17" i="16"/>
  <c r="Z16" i="16"/>
  <c r="F9" i="16"/>
  <c r="H9" i="16" s="1"/>
  <c r="I9" i="16" s="1"/>
  <c r="H8" i="16"/>
  <c r="J7" i="16"/>
  <c r="I8" i="16" l="1"/>
  <c r="J8" i="16" s="1"/>
  <c r="AA16" i="16"/>
  <c r="AB16" i="16" s="1"/>
  <c r="X18" i="16"/>
  <c r="Z17" i="16"/>
  <c r="J9" i="16"/>
  <c r="AA17" i="16" l="1"/>
  <c r="AB17" i="16" s="1"/>
  <c r="X19" i="16"/>
  <c r="Z18" i="16"/>
  <c r="AA18" i="16" l="1"/>
  <c r="AB18" i="16" s="1"/>
  <c r="X20" i="16"/>
  <c r="Z20" i="16" s="1"/>
  <c r="AA20" i="16" s="1"/>
  <c r="Z19" i="16"/>
  <c r="AA19" i="16" l="1"/>
  <c r="AB19" i="16" s="1"/>
  <c r="AB20" i="16"/>
  <c r="U7" i="16"/>
  <c r="W7" i="16" l="1"/>
  <c r="C9" i="17" s="1"/>
  <c r="C10" i="17" s="1"/>
</calcChain>
</file>

<file path=xl/sharedStrings.xml><?xml version="1.0" encoding="utf-8"?>
<sst xmlns="http://schemas.openxmlformats.org/spreadsheetml/2006/main" count="337" uniqueCount="43">
  <si>
    <t>使用水量</t>
    <rPh sb="0" eb="4">
      <t>シヨウスイリョウ</t>
    </rPh>
    <phoneticPr fontId="2"/>
  </si>
  <si>
    <t>税抜き</t>
    <rPh sb="0" eb="2">
      <t>ゼイヌ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</si>
  <si>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</si>
  <si>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</si>
  <si>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</si>
  <si>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税込み</t>
    <rPh sb="0" eb="2">
      <t>ゼイコ</t>
    </rPh>
    <phoneticPr fontId="2"/>
  </si>
  <si>
    <t>業務用１か月</t>
    <rPh sb="0" eb="2">
      <t>ギョウム</t>
    </rPh>
    <rPh sb="2" eb="3">
      <t>ヨウ</t>
    </rPh>
    <rPh sb="5" eb="6">
      <t>ツキ</t>
    </rPh>
    <phoneticPr fontId="2"/>
  </si>
  <si>
    <t>農業用２か月水道料金</t>
    <rPh sb="0" eb="2">
      <t>ノウギョウ</t>
    </rPh>
    <rPh sb="2" eb="3">
      <t>ヨウ</t>
    </rPh>
    <rPh sb="5" eb="6">
      <t>ツキ</t>
    </rPh>
    <rPh sb="6" eb="10">
      <t>スイドウリョウキン</t>
    </rPh>
    <phoneticPr fontId="2"/>
  </si>
  <si>
    <t>農業用１か月</t>
    <rPh sb="0" eb="2">
      <t>ノウギョウ</t>
    </rPh>
    <rPh sb="2" eb="3">
      <t>ヨウ</t>
    </rPh>
    <rPh sb="5" eb="6">
      <t>ツキ</t>
    </rPh>
    <phoneticPr fontId="2"/>
  </si>
  <si>
    <t>消費税額</t>
    <rPh sb="0" eb="3">
      <t>ショウヒゼイ</t>
    </rPh>
    <rPh sb="3" eb="4">
      <t>ガク</t>
    </rPh>
    <phoneticPr fontId="2"/>
  </si>
  <si>
    <t>～</t>
    <phoneticPr fontId="2"/>
  </si>
  <si>
    <t>臨時用１か月</t>
    <rPh sb="0" eb="2">
      <t>リンジ</t>
    </rPh>
    <rPh sb="2" eb="3">
      <t>ヨウ</t>
    </rPh>
    <rPh sb="5" eb="6">
      <t>ツキ</t>
    </rPh>
    <phoneticPr fontId="2"/>
  </si>
  <si>
    <t>臨時用２か月水道料金</t>
    <rPh sb="0" eb="2">
      <t>リンジ</t>
    </rPh>
    <rPh sb="2" eb="3">
      <t>ヨウ</t>
    </rPh>
    <rPh sb="5" eb="6">
      <t>ツキ</t>
    </rPh>
    <rPh sb="6" eb="10">
      <t>スイドウリョウキン</t>
    </rPh>
    <phoneticPr fontId="2"/>
  </si>
  <si>
    <t>口径</t>
    <rPh sb="0" eb="2">
      <t>コウケイ</t>
    </rPh>
    <phoneticPr fontId="2"/>
  </si>
  <si>
    <t>基本料金</t>
    <rPh sb="0" eb="2">
      <t>キホン</t>
    </rPh>
    <rPh sb="2" eb="4">
      <t>リョウキン</t>
    </rPh>
    <phoneticPr fontId="2"/>
  </si>
  <si>
    <t>一般用２か月水道料金</t>
    <rPh sb="0" eb="2">
      <t>イッパン</t>
    </rPh>
    <rPh sb="2" eb="3">
      <t>ヨウ</t>
    </rPh>
    <rPh sb="5" eb="6">
      <t>ツキ</t>
    </rPh>
    <rPh sb="6" eb="10">
      <t>スイドウリョウキン</t>
    </rPh>
    <phoneticPr fontId="2"/>
  </si>
  <si>
    <t>mm</t>
    <phoneticPr fontId="2"/>
  </si>
  <si>
    <t>一般用１か月</t>
    <rPh sb="0" eb="2">
      <t>イッパン</t>
    </rPh>
    <rPh sb="2" eb="3">
      <t>ヨウ</t>
    </rPh>
    <rPh sb="5" eb="6">
      <t>ツキ</t>
    </rPh>
    <phoneticPr fontId="2"/>
  </si>
  <si>
    <r>
      <t>m</t>
    </r>
    <r>
      <rPr>
        <vertAlign val="superscript"/>
        <sz val="12"/>
        <rFont val="HG丸ｺﾞｼｯｸM-PRO"/>
        <family val="3"/>
        <charset val="128"/>
      </rPr>
      <t>３</t>
    </r>
    <phoneticPr fontId="2"/>
  </si>
  <si>
    <r>
      <t>m</t>
    </r>
    <r>
      <rPr>
        <vertAlign val="superscript"/>
        <sz val="12"/>
        <rFont val="HG丸ｺﾞｼｯｸM-PRO"/>
        <family val="3"/>
        <charset val="128"/>
      </rPr>
      <t>3</t>
    </r>
    <phoneticPr fontId="2"/>
  </si>
  <si>
    <t>の部分を入力してください。</t>
    <rPh sb="1" eb="3">
      <t>ブブン</t>
    </rPh>
    <rPh sb="4" eb="6">
      <t>ニュウリョク</t>
    </rPh>
    <phoneticPr fontId="2"/>
  </si>
  <si>
    <t>メーターの口径</t>
    <rPh sb="5" eb="7">
      <t>コウケイ</t>
    </rPh>
    <phoneticPr fontId="2"/>
  </si>
  <si>
    <t>※通常2か月検針ですので、こちら↓で計算してください。</t>
    <rPh sb="1" eb="3">
      <t>ツウジョウ</t>
    </rPh>
    <rPh sb="5" eb="6">
      <t>ゲツ</t>
    </rPh>
    <rPh sb="6" eb="8">
      <t>ケンシン</t>
    </rPh>
    <rPh sb="18" eb="20">
      <t>ケイサン</t>
    </rPh>
    <phoneticPr fontId="2"/>
  </si>
  <si>
    <r>
      <t>一般用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イッパン</t>
    </rPh>
    <rPh sb="2" eb="3">
      <t>ヨウ</t>
    </rPh>
    <rPh sb="5" eb="6">
      <t>ツキ</t>
    </rPh>
    <rPh sb="6" eb="10">
      <t>スイドウリョウキン</t>
    </rPh>
    <phoneticPr fontId="2"/>
  </si>
  <si>
    <r>
      <t>農業用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ノウギョウ</t>
    </rPh>
    <rPh sb="2" eb="3">
      <t>ヨウ</t>
    </rPh>
    <rPh sb="5" eb="6">
      <t>ツキ</t>
    </rPh>
    <rPh sb="6" eb="10">
      <t>スイドウリョウキン</t>
    </rPh>
    <phoneticPr fontId="2"/>
  </si>
  <si>
    <r>
      <rPr>
        <b/>
        <u/>
        <sz val="12"/>
        <color rgb="FFFF0000"/>
        <rFont val="HG丸ｺﾞｼｯｸM-PRO"/>
        <family val="3"/>
        <charset val="128"/>
      </rPr>
      <t>１か月検針</t>
    </r>
    <r>
      <rPr>
        <sz val="12"/>
        <rFont val="HG丸ｺﾞｼｯｸM-PRO"/>
        <family val="3"/>
        <charset val="128"/>
      </rPr>
      <t>の事業所等の場合は、こちら↓で計算してください。</t>
    </r>
    <rPh sb="2" eb="3">
      <t>ゲツ</t>
    </rPh>
    <rPh sb="3" eb="5">
      <t>ケンシン</t>
    </rPh>
    <rPh sb="6" eb="9">
      <t>ジギョウショ</t>
    </rPh>
    <rPh sb="9" eb="10">
      <t>トウ</t>
    </rPh>
    <rPh sb="11" eb="13">
      <t>バアイ</t>
    </rPh>
    <rPh sb="20" eb="22">
      <t>ケイサン</t>
    </rPh>
    <phoneticPr fontId="2"/>
  </si>
  <si>
    <r>
      <t>臨時用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リンジ</t>
    </rPh>
    <rPh sb="2" eb="3">
      <t>ヨウ</t>
    </rPh>
    <rPh sb="5" eb="6">
      <t>ツキ</t>
    </rPh>
    <rPh sb="6" eb="10">
      <t>スイドウリョウキン</t>
    </rPh>
    <phoneticPr fontId="2"/>
  </si>
  <si>
    <t>秦野市上下水道局</t>
    <rPh sb="0" eb="3">
      <t>ハダノシ</t>
    </rPh>
    <rPh sb="3" eb="5">
      <t>ジョウゲ</t>
    </rPh>
    <rPh sb="5" eb="8">
      <t>スイドウキョク</t>
    </rPh>
    <phoneticPr fontId="2"/>
  </si>
  <si>
    <t>令和４年度物価高騰対策としての水道料金減額後の料金計算表（令和４年１０月～令和５年３月）</t>
    <rPh sb="0" eb="2">
      <t>レイワ</t>
    </rPh>
    <rPh sb="3" eb="5">
      <t>ネンド</t>
    </rPh>
    <rPh sb="5" eb="7">
      <t>ブッカ</t>
    </rPh>
    <rPh sb="7" eb="9">
      <t>コウトウ</t>
    </rPh>
    <rPh sb="9" eb="11">
      <t>タイサク</t>
    </rPh>
    <rPh sb="15" eb="19">
      <t>スイドウリョウキン</t>
    </rPh>
    <rPh sb="19" eb="21">
      <t>ゲンガク</t>
    </rPh>
    <rPh sb="21" eb="22">
      <t>ゴ</t>
    </rPh>
    <rPh sb="23" eb="25">
      <t>リョウキン</t>
    </rPh>
    <rPh sb="25" eb="27">
      <t>ケイサン</t>
    </rPh>
    <rPh sb="27" eb="28">
      <t>ヒョウ</t>
    </rPh>
    <rPh sb="29" eb="30">
      <t>レイ</t>
    </rPh>
    <rPh sb="30" eb="31">
      <t>ワ</t>
    </rPh>
    <rPh sb="32" eb="33">
      <t>ネン</t>
    </rPh>
    <rPh sb="35" eb="36">
      <t>ガツ</t>
    </rPh>
    <rPh sb="37" eb="39">
      <t>レイワ</t>
    </rPh>
    <rPh sb="40" eb="41">
      <t>ネン</t>
    </rPh>
    <rPh sb="42" eb="43">
      <t>ガツ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</si>
  <si>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</si>
  <si>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</si>
  <si>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</si>
  <si>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</si>
  <si>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</si>
  <si>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</si>
  <si>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2か月分</t>
    <rPh sb="2" eb="4">
      <t>ゲツブン</t>
    </rPh>
    <phoneticPr fontId="2"/>
  </si>
  <si>
    <t>減額前</t>
    <rPh sb="0" eb="2">
      <t>ゲンガク</t>
    </rPh>
    <rPh sb="2" eb="3">
      <t>マエ</t>
    </rPh>
    <phoneticPr fontId="2"/>
  </si>
  <si>
    <t>減額後</t>
    <rPh sb="0" eb="2">
      <t>ゲンガク</t>
    </rPh>
    <rPh sb="2" eb="3">
      <t>ゴ</t>
    </rPh>
    <phoneticPr fontId="2"/>
  </si>
  <si>
    <t>※金額はすべて税込みです。</t>
    <rPh sb="1" eb="3">
      <t>キンガク</t>
    </rPh>
    <rPh sb="7" eb="9">
      <t>ゼイコ</t>
    </rPh>
    <phoneticPr fontId="2"/>
  </si>
  <si>
    <t>減額前</t>
    <rPh sb="0" eb="1">
      <t>ゲン</t>
    </rPh>
    <rPh sb="1" eb="2">
      <t>ガク</t>
    </rPh>
    <rPh sb="2" eb="3">
      <t>マエ</t>
    </rPh>
    <phoneticPr fontId="2"/>
  </si>
  <si>
    <t>減額後</t>
    <rPh sb="0" eb="1">
      <t>ゲン</t>
    </rPh>
    <rPh sb="1" eb="2">
      <t>ガク</t>
    </rPh>
    <rPh sb="2" eb="3">
      <t>ウシ</t>
    </rPh>
    <phoneticPr fontId="2"/>
  </si>
  <si>
    <t>減額した分は…</t>
    <rPh sb="0" eb="2">
      <t>ゲンガク</t>
    </rPh>
    <rPh sb="4" eb="5">
      <t>ブン</t>
    </rPh>
    <phoneticPr fontId="2"/>
  </si>
  <si>
    <t>減額した分は…</t>
    <rPh sb="0" eb="2">
      <t>ゲンガク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</si>
</sst>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12"/>
      <color rgb="FF0066FF"/>
      <name val="HG丸ｺﾞｼｯｸM-PRO"/>
      <family val="3"/>
      <charset val="128"/>
    </font>
    <font>
      <sz val="16"/>
      <name val="メイリオ"/>
      <family val="3"/>
      <charset val="128"/>
    </font>
    <font>
      <sz val="14"/>
      <name val="HG丸ｺﾞｼｯｸM-PRO"/>
      <family val="3"/>
      <charset val="128"/>
    </font>
    <font>
      <sz val="1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3" fillId="4" borderId="8" xfId="0" applyFont="1" applyFill="1" applyBorder="1"/>
    <xf numFmtId="0" fontId="0" fillId="5" borderId="1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7" fillId="6" borderId="7" xfId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right" vertical="center"/>
    </xf>
    <xf numFmtId="38" fontId="5" fillId="10" borderId="7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4" fillId="0" borderId="5" xfId="1" applyFont="1" applyFill="1" applyBorder="1" applyAlignment="1">
      <alignment vertical="center"/>
    </xf>
    <xf numFmtId="0" fontId="7" fillId="6" borderId="12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8" fontId="0" fillId="2" borderId="1" xfId="0" applyNumberFormat="1" applyFill="1" applyBorder="1"/>
    <xf numFmtId="5" fontId="11" fillId="0" borderId="0" xfId="0" applyNumberFormat="1" applyFont="1" applyAlignment="1">
      <alignment horizontal="left" vertical="center" shrinkToFit="1"/>
    </xf>
    <xf numFmtId="0" fontId="0" fillId="0" borderId="1" xfId="0" applyBorder="1" applyAlignment="1">
      <alignment horizontal="center"/>
    </xf>
    <xf numFmtId="38" fontId="0" fillId="2" borderId="10" xfId="0" applyNumberFormat="1" applyFill="1" applyBorder="1"/>
    <xf numFmtId="0" fontId="4" fillId="4" borderId="25" xfId="0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5" fontId="1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 indent="2"/>
    </xf>
    <xf numFmtId="0" fontId="4" fillId="4" borderId="16" xfId="0" applyFont="1" applyFill="1" applyBorder="1" applyAlignment="1">
      <alignment horizontal="left" vertical="center" wrapText="1" justifyLastLine="1"/>
    </xf>
    <xf numFmtId="0" fontId="4" fillId="4" borderId="18" xfId="0" applyFont="1" applyFill="1" applyBorder="1" applyAlignment="1">
      <alignment horizontal="left" vertical="center" justifyLastLine="1"/>
    </xf>
    <xf numFmtId="0" fontId="4" fillId="4" borderId="20" xfId="0" applyFont="1" applyFill="1" applyBorder="1" applyAlignment="1">
      <alignment horizontal="left" vertical="center" justifyLastLine="1"/>
    </xf>
    <xf numFmtId="0" fontId="4" fillId="4" borderId="29" xfId="0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5" fontId="11" fillId="0" borderId="0" xfId="0" applyNumberFormat="1" applyFont="1" applyAlignment="1">
      <alignment horizontal="left" vertical="center" shrinkToFit="1"/>
    </xf>
    <xf numFmtId="0" fontId="12" fillId="0" borderId="0" xfId="0" applyFont="1" applyAlignment="1">
      <alignment horizontal="right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8" fontId="0" fillId="0" borderId="1" xfId="1" applyFont="1" applyBorder="1" applyAlignment="1"/>
    <xf numFmtId="0" fontId="0" fillId="0" borderId="1" xfId="0" applyBorder="1" applyAlignment="1">
      <alignment horizontal="center"/>
    </xf>
    <xf numFmtId="38" fontId="0" fillId="0" borderId="7" xfId="1" applyFont="1" applyBorder="1" applyAlignment="1">
      <alignment horizontal="right"/>
    </xf>
    <xf numFmtId="38" fontId="0" fillId="0" borderId="9" xfId="1" applyFont="1" applyBorder="1" applyAlignment="1">
      <alignment horizontal="right"/>
    </xf>
    <xf numFmtId="38" fontId="0" fillId="2" borderId="11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66FF"/>
      <color rgb="FFFF8585"/>
      <color rgb="FFFF0000"/>
      <color rgb="FFFFC5C5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10&#19978;&#19979;&#27700;&#36947;&#23616;/101020&#21942;&#26989;&#35506;/02_&#26009;&#37329;&#21942;&#26989;&#25285;&#24403;/1_&#27700;&#36947;&#26009;&#37329;&#38306;&#20418;/15_&#26009;&#37329;&#34920;&#12539;&#26009;&#37329;&#35336;&#31639;/5%20&#27700;&#36947;&#26009;&#37329;&#26089;&#35211;&#34920;_&#28040;&#36027;&#31246;&#29575;&#25913;&#27491;_R01.10.1&#65374;/20191001ryokinkei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水道料金計算"/>
      <sheetName val="新水道計算式"/>
    </sheetNames>
    <sheetDataSet>
      <sheetData sheetId="0">
        <row r="6">
          <cell r="C6">
            <v>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O45"/>
  <sheetViews>
    <sheetView showGridLines="0" tabSelected="1" zoomScaleNormal="100" workbookViewId="0">
      <selection activeCell="G17" sqref="G17"/>
    </sheetView>
  </sheetViews>
  <sheetFormatPr defaultRowHeight="14.25"/>
  <cols>
    <col min="1" max="1" width="2.375" style="28" customWidth="1"/>
    <col min="2" max="2" width="16.625" style="28" customWidth="1"/>
    <col min="3" max="3" width="17.625" style="28" customWidth="1"/>
    <col min="4" max="4" width="5.625" style="28" customWidth="1"/>
    <col min="5" max="5" width="6.25" style="28" customWidth="1"/>
    <col min="6" max="6" width="8" style="28" customWidth="1"/>
    <col min="7" max="7" width="14.625" style="28" customWidth="1"/>
    <col min="8" max="8" width="13.875" style="28" customWidth="1"/>
    <col min="9" max="9" width="16.625" style="28" customWidth="1"/>
    <col min="10" max="10" width="17.625" style="28" customWidth="1"/>
    <col min="11" max="11" width="5.5" style="28" bestFit="1" customWidth="1"/>
    <col min="12" max="14" width="9" style="28"/>
    <col min="15" max="15" width="9" style="28" hidden="1" customWidth="1"/>
    <col min="16" max="16384" width="9" style="28"/>
  </cols>
  <sheetData>
    <row r="1" spans="2:15" ht="9" customHeight="1">
      <c r="M1" s="52"/>
    </row>
    <row r="2" spans="2:15" ht="24.75">
      <c r="B2" s="58" t="s">
        <v>28</v>
      </c>
      <c r="C2" s="58"/>
      <c r="D2" s="58"/>
      <c r="E2" s="58"/>
      <c r="F2" s="58"/>
      <c r="G2" s="58"/>
      <c r="H2" s="58"/>
      <c r="I2" s="58"/>
      <c r="J2" s="58"/>
      <c r="K2" s="58"/>
    </row>
    <row r="3" spans="2:15" ht="24.75">
      <c r="B3" s="44"/>
      <c r="C3" s="44"/>
      <c r="D3" s="44"/>
      <c r="E3" s="44"/>
      <c r="F3" s="44"/>
      <c r="G3" s="44"/>
      <c r="H3" s="44"/>
      <c r="J3" s="51" t="s">
        <v>38</v>
      </c>
      <c r="K3" s="44"/>
    </row>
    <row r="4" spans="2:15" ht="24.75" customHeight="1" thickBot="1">
      <c r="B4" s="32" t="s">
        <v>22</v>
      </c>
      <c r="I4" s="28" t="s">
        <v>25</v>
      </c>
    </row>
    <row r="5" spans="2:15" ht="21" customHeight="1">
      <c r="B5" s="75" t="s">
        <v>15</v>
      </c>
      <c r="C5" s="76"/>
      <c r="D5" s="77"/>
      <c r="I5" s="63" t="s">
        <v>23</v>
      </c>
      <c r="J5" s="64"/>
      <c r="K5" s="65"/>
      <c r="O5" s="28">
        <v>13</v>
      </c>
    </row>
    <row r="6" spans="2:15" ht="21" customHeight="1">
      <c r="B6" s="53" t="s">
        <v>0</v>
      </c>
      <c r="C6" s="29">
        <v>20</v>
      </c>
      <c r="D6" s="36" t="s">
        <v>18</v>
      </c>
      <c r="F6" s="30" t="s">
        <v>19</v>
      </c>
      <c r="G6" s="28" t="s">
        <v>20</v>
      </c>
      <c r="I6" s="35" t="s">
        <v>0</v>
      </c>
      <c r="J6" s="29">
        <v>20</v>
      </c>
      <c r="K6" s="36" t="s">
        <v>18</v>
      </c>
      <c r="O6" s="28">
        <v>20</v>
      </c>
    </row>
    <row r="7" spans="2:15" ht="21" customHeight="1" thickBot="1">
      <c r="B7" s="54" t="s">
        <v>21</v>
      </c>
      <c r="C7" s="34">
        <v>40</v>
      </c>
      <c r="D7" s="38" t="s">
        <v>16</v>
      </c>
      <c r="F7" s="30" t="s">
        <v>16</v>
      </c>
      <c r="I7" s="37" t="s">
        <v>21</v>
      </c>
      <c r="J7" s="34">
        <v>25</v>
      </c>
      <c r="K7" s="38" t="s">
        <v>16</v>
      </c>
      <c r="O7" s="28">
        <v>25</v>
      </c>
    </row>
    <row r="8" spans="2:15" ht="21" customHeight="1">
      <c r="B8" s="55" t="s">
        <v>39</v>
      </c>
      <c r="C8" s="33">
        <f>'（減額前）新水道計算式'!W6+'（減額前）新水道計算式'!W7</f>
        <v>6710</v>
      </c>
      <c r="D8" s="40" t="s">
        <v>3</v>
      </c>
      <c r="E8" s="27"/>
      <c r="F8" s="42"/>
      <c r="I8" s="41" t="s">
        <v>36</v>
      </c>
      <c r="J8" s="33">
        <f>IF(J6&gt;=0,LOOKUP('（減額前）新水道計算式'!D10,'（減額前）新水道計算式'!G3:G9,'（減額前）新水道計算式'!J3:J9))</f>
        <v>2343</v>
      </c>
      <c r="K8" s="40" t="s">
        <v>3</v>
      </c>
      <c r="O8" s="28">
        <v>40</v>
      </c>
    </row>
    <row r="9" spans="2:15" ht="21" customHeight="1">
      <c r="B9" s="55" t="s">
        <v>40</v>
      </c>
      <c r="C9" s="31">
        <f>'（減額後）新水道計算式'!W6+'（減額後）新水道計算式'!W7</f>
        <v>3352</v>
      </c>
      <c r="D9" s="36" t="s">
        <v>3</v>
      </c>
      <c r="E9" s="27"/>
      <c r="I9" s="35" t="s">
        <v>37</v>
      </c>
      <c r="J9" s="31">
        <f>IF(J6&gt;=0,LOOKUP('（減額後）新水道計算式'!D10,'（減額後）新水道計算式'!G3:G9,'（減額後）新水道計算式'!J3:J9))</f>
        <v>1164</v>
      </c>
      <c r="K9" s="36" t="s">
        <v>3</v>
      </c>
      <c r="O9" s="28">
        <v>50</v>
      </c>
    </row>
    <row r="10" spans="2:15" ht="21" customHeight="1" thickBot="1">
      <c r="B10" s="56" t="s">
        <v>41</v>
      </c>
      <c r="C10" s="57">
        <f>C8-C9</f>
        <v>3358</v>
      </c>
      <c r="D10" s="38" t="s">
        <v>3</v>
      </c>
      <c r="E10" s="27"/>
      <c r="I10" s="56" t="s">
        <v>42</v>
      </c>
      <c r="J10" s="57">
        <f>J8-J9</f>
        <v>1179</v>
      </c>
      <c r="K10" s="38" t="s">
        <v>3</v>
      </c>
      <c r="O10" s="28">
        <v>75</v>
      </c>
    </row>
    <row r="11" spans="2:15" ht="21" hidden="1" customHeight="1" thickBot="1">
      <c r="B11" s="47" t="s">
        <v>9</v>
      </c>
      <c r="C11" s="48"/>
      <c r="D11" s="49" t="s">
        <v>3</v>
      </c>
      <c r="E11" s="27"/>
      <c r="I11" s="50" t="s">
        <v>9</v>
      </c>
      <c r="J11" s="48"/>
      <c r="K11" s="49" t="s">
        <v>3</v>
      </c>
      <c r="O11" s="28">
        <v>100</v>
      </c>
    </row>
    <row r="12" spans="2:15" ht="21" customHeight="1" thickBot="1">
      <c r="O12" s="28">
        <v>150</v>
      </c>
    </row>
    <row r="13" spans="2:15" ht="21" customHeight="1">
      <c r="B13" s="72" t="s">
        <v>7</v>
      </c>
      <c r="C13" s="73"/>
      <c r="D13" s="74"/>
      <c r="I13" s="66" t="s">
        <v>24</v>
      </c>
      <c r="J13" s="67"/>
      <c r="K13" s="68"/>
      <c r="O13" s="28">
        <v>200</v>
      </c>
    </row>
    <row r="14" spans="2:15" ht="21" customHeight="1">
      <c r="B14" s="35" t="s">
        <v>0</v>
      </c>
      <c r="C14" s="29">
        <v>8</v>
      </c>
      <c r="D14" s="36" t="s">
        <v>18</v>
      </c>
      <c r="I14" s="35" t="s">
        <v>0</v>
      </c>
      <c r="J14" s="29">
        <v>8</v>
      </c>
      <c r="K14" s="36" t="s">
        <v>18</v>
      </c>
    </row>
    <row r="15" spans="2:15" ht="21" customHeight="1" thickBot="1">
      <c r="B15" s="37" t="s">
        <v>21</v>
      </c>
      <c r="C15" s="34">
        <v>13</v>
      </c>
      <c r="D15" s="38" t="s">
        <v>16</v>
      </c>
      <c r="I15" s="37" t="s">
        <v>21</v>
      </c>
      <c r="J15" s="34">
        <v>13</v>
      </c>
      <c r="K15" s="38" t="s">
        <v>16</v>
      </c>
    </row>
    <row r="16" spans="2:15" ht="21" customHeight="1">
      <c r="B16" s="39" t="s">
        <v>36</v>
      </c>
      <c r="C16" s="33">
        <f>'（減額前）新水道計算式'!W48+'（減額前）新水道計算式'!W49</f>
        <v>1496</v>
      </c>
      <c r="D16" s="40" t="s">
        <v>3</v>
      </c>
      <c r="E16" s="27"/>
      <c r="I16" s="39" t="s">
        <v>36</v>
      </c>
      <c r="J16" s="33">
        <f>IF(J14&gt;=0,LOOKUP('（減額前）新水道計算式'!D50,'（減額前）新水道計算式'!G45:G49,'（減額前）新水道計算式'!J45:J49))</f>
        <v>748</v>
      </c>
      <c r="K16" s="40" t="s">
        <v>3</v>
      </c>
    </row>
    <row r="17" spans="2:11" ht="21" customHeight="1">
      <c r="B17" s="35" t="s">
        <v>37</v>
      </c>
      <c r="C17" s="31">
        <f>'（減額後）新水道計算式'!W48+'（減額後）新水道計算式'!W49</f>
        <v>748</v>
      </c>
      <c r="D17" s="36" t="s">
        <v>3</v>
      </c>
      <c r="E17" s="27"/>
      <c r="I17" s="35" t="s">
        <v>37</v>
      </c>
      <c r="J17" s="31">
        <f>IF(J14&gt;=0,LOOKUP('（減額後）新水道計算式'!D50,'（減額後）新水道計算式'!G45:G49,'（減額後）新水道計算式'!J45:J49))</f>
        <v>374</v>
      </c>
      <c r="K17" s="36" t="s">
        <v>3</v>
      </c>
    </row>
    <row r="18" spans="2:11" ht="21" customHeight="1" thickBot="1">
      <c r="B18" s="56" t="s">
        <v>42</v>
      </c>
      <c r="C18" s="57">
        <f>C16-C17</f>
        <v>748</v>
      </c>
      <c r="D18" s="38" t="s">
        <v>3</v>
      </c>
      <c r="E18" s="27"/>
      <c r="I18" s="56" t="s">
        <v>42</v>
      </c>
      <c r="J18" s="57">
        <f>J16-J17</f>
        <v>374</v>
      </c>
      <c r="K18" s="38" t="s">
        <v>3</v>
      </c>
    </row>
    <row r="19" spans="2:11" ht="21" customHeight="1" thickBot="1"/>
    <row r="20" spans="2:11" ht="21" customHeight="1">
      <c r="B20" s="69" t="s">
        <v>12</v>
      </c>
      <c r="C20" s="70"/>
      <c r="D20" s="71"/>
      <c r="I20" s="60" t="s">
        <v>26</v>
      </c>
      <c r="J20" s="61"/>
      <c r="K20" s="62"/>
    </row>
    <row r="21" spans="2:11" ht="21" customHeight="1">
      <c r="B21" s="35" t="s">
        <v>0</v>
      </c>
      <c r="C21" s="29">
        <v>8</v>
      </c>
      <c r="D21" s="36" t="s">
        <v>18</v>
      </c>
      <c r="I21" s="35" t="s">
        <v>0</v>
      </c>
      <c r="J21" s="29">
        <v>8</v>
      </c>
      <c r="K21" s="36" t="s">
        <v>18</v>
      </c>
    </row>
    <row r="22" spans="2:11" ht="21" customHeight="1">
      <c r="B22" s="39" t="s">
        <v>36</v>
      </c>
      <c r="C22" s="33">
        <f>'（減額前）新水道計算式'!W66+'（減額前）新水道計算式'!W67</f>
        <v>4840</v>
      </c>
      <c r="D22" s="40" t="s">
        <v>3</v>
      </c>
      <c r="E22" s="27"/>
      <c r="I22" s="39" t="s">
        <v>36</v>
      </c>
      <c r="J22" s="33">
        <f>IF(J21&gt;=0,LOOKUP('（減額前）新水道計算式'!D68,'（減額前）新水道計算式'!G63:G67,'（減額前）新水道計算式'!J63:J67))</f>
        <v>2420</v>
      </c>
      <c r="K22" s="40" t="s">
        <v>3</v>
      </c>
    </row>
    <row r="23" spans="2:11" ht="21" customHeight="1">
      <c r="B23" s="35" t="s">
        <v>37</v>
      </c>
      <c r="C23" s="31">
        <f>'（減額後）新水道計算式'!W66+'（減額後）新水道計算式'!W67</f>
        <v>2420</v>
      </c>
      <c r="D23" s="36" t="s">
        <v>3</v>
      </c>
      <c r="E23" s="27"/>
      <c r="I23" s="35" t="s">
        <v>37</v>
      </c>
      <c r="J23" s="31">
        <f>IF(J21&gt;=0,LOOKUP('（減額後）新水道計算式'!D68,'（減額後）新水道計算式'!G63:G67,'（減額後）新水道計算式'!J63:J67))</f>
        <v>1210</v>
      </c>
      <c r="K23" s="36" t="s">
        <v>3</v>
      </c>
    </row>
    <row r="24" spans="2:11" ht="21" customHeight="1" thickBot="1">
      <c r="B24" s="56" t="s">
        <v>42</v>
      </c>
      <c r="C24" s="57">
        <f>C22-C23</f>
        <v>2420</v>
      </c>
      <c r="D24" s="38" t="s">
        <v>3</v>
      </c>
      <c r="E24" s="27"/>
      <c r="I24" s="56" t="s">
        <v>42</v>
      </c>
      <c r="J24" s="57">
        <f>J22-J23</f>
        <v>1210</v>
      </c>
      <c r="K24" s="38" t="s">
        <v>3</v>
      </c>
    </row>
    <row r="27" spans="2:11" ht="21" customHeight="1">
      <c r="J27" s="59" t="s">
        <v>27</v>
      </c>
      <c r="K27" s="59"/>
    </row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mergeCells count="8">
    <mergeCell ref="B2:K2"/>
    <mergeCell ref="J27:K27"/>
    <mergeCell ref="I20:K20"/>
    <mergeCell ref="I5:K5"/>
    <mergeCell ref="I13:K13"/>
    <mergeCell ref="B20:D20"/>
    <mergeCell ref="B13:D13"/>
    <mergeCell ref="B5:D5"/>
  </mergeCells>
  <phoneticPr fontId="2"/>
  <dataValidations count="1">
    <dataValidation type="list" allowBlank="1" showInputMessage="1" showErrorMessage="1" sqref="C7 J15 C15 J7">
      <formula1>$O$5:$O$13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77"/>
  <sheetViews>
    <sheetView workbookViewId="0">
      <selection activeCell="B50" sqref="B50"/>
    </sheetView>
  </sheetViews>
  <sheetFormatPr defaultRowHeight="13.5"/>
  <cols>
    <col min="2" max="2" width="5.5" bestFit="1" customWidth="1"/>
    <col min="3" max="3" width="3.375" bestFit="1" customWidth="1"/>
    <col min="4" max="5" width="5.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5" width="2.5" bestFit="1" customWidth="1"/>
    <col min="16" max="16" width="2.5" customWidth="1"/>
    <col min="17" max="18" width="2.5" bestFit="1" customWidth="1"/>
    <col min="20" max="20" width="7.875" customWidth="1"/>
    <col min="21" max="21" width="6.375" customWidth="1"/>
    <col min="22" max="22" width="5.25" customWidth="1"/>
    <col min="23" max="23" width="5.25" bestFit="1" customWidth="1"/>
    <col min="24" max="24" width="8" customWidth="1"/>
    <col min="25" max="25" width="2.5" bestFit="1" customWidth="1"/>
    <col min="26" max="26" width="9.25" customWidth="1"/>
    <col min="27" max="28" width="7.125" bestFit="1" customWidth="1"/>
    <col min="29" max="29" width="2" customWidth="1"/>
    <col min="30" max="33" width="2.5" bestFit="1" customWidth="1"/>
    <col min="34" max="34" width="2.5" customWidth="1"/>
    <col min="35" max="36" width="2.5" bestFit="1" customWidth="1"/>
  </cols>
  <sheetData>
    <row r="2" spans="2:36">
      <c r="B2" t="s">
        <v>17</v>
      </c>
      <c r="E2" s="12" t="s">
        <v>2</v>
      </c>
      <c r="F2" s="2"/>
      <c r="G2" s="2"/>
      <c r="H2" s="12" t="s">
        <v>1</v>
      </c>
      <c r="I2" s="12" t="s">
        <v>4</v>
      </c>
      <c r="J2" s="12" t="s">
        <v>5</v>
      </c>
      <c r="Z2" s="12" t="s">
        <v>13</v>
      </c>
      <c r="AA2" s="83" t="s">
        <v>14</v>
      </c>
      <c r="AB2" s="83"/>
    </row>
    <row r="3" spans="2:36">
      <c r="B3" s="9"/>
      <c r="C3" s="15" t="s">
        <v>10</v>
      </c>
      <c r="D3" s="10">
        <v>8</v>
      </c>
      <c r="E3" s="13"/>
      <c r="F3" s="2"/>
      <c r="G3" s="2">
        <v>0</v>
      </c>
      <c r="H3" s="14">
        <f>LOOKUP(新水道料金計算!J7,Z3:Z11,AA3:AA11)</f>
        <v>555</v>
      </c>
      <c r="I3" s="2">
        <f t="shared" ref="I3:I9" si="0">ROUNDDOWN(H3*0.1,0)</f>
        <v>55</v>
      </c>
      <c r="J3" s="2">
        <f t="shared" ref="J3:J9" si="1">ROUNDDOWN(H3+I3,0)</f>
        <v>610</v>
      </c>
      <c r="L3" s="2">
        <f>IF(B10&lt;B4,0,1)</f>
        <v>1</v>
      </c>
      <c r="M3" s="2">
        <f>IF(B10&lt;B5,0,1)</f>
        <v>0</v>
      </c>
      <c r="N3" s="2">
        <f>IF(B10&lt;B6,0,1)</f>
        <v>0</v>
      </c>
      <c r="O3" s="2">
        <f>IF(B10&lt;B7,0,1)</f>
        <v>0</v>
      </c>
      <c r="P3" s="2">
        <f>IF(B10&lt;B8,0,1)</f>
        <v>0</v>
      </c>
      <c r="Q3" s="2">
        <f>IF(B10&lt;B9,0,1)</f>
        <v>0</v>
      </c>
      <c r="R3" s="11">
        <f>SUM(L3:Q3)</f>
        <v>1</v>
      </c>
      <c r="T3" s="78">
        <f>新水道料金計算!C6</f>
        <v>20</v>
      </c>
      <c r="U3" s="2">
        <f>T3/2</f>
        <v>10</v>
      </c>
      <c r="V3" s="2">
        <f>T3/2</f>
        <v>10</v>
      </c>
      <c r="Z3" s="2">
        <v>13</v>
      </c>
      <c r="AA3" s="82">
        <v>340</v>
      </c>
      <c r="AB3" s="82"/>
    </row>
    <row r="4" spans="2:36">
      <c r="B4" s="3">
        <v>9</v>
      </c>
      <c r="C4" s="16" t="s">
        <v>10</v>
      </c>
      <c r="D4" s="4">
        <v>20</v>
      </c>
      <c r="E4" s="14">
        <v>42</v>
      </c>
      <c r="F4" s="2">
        <f>(D3*E4-H3)*-1</f>
        <v>219</v>
      </c>
      <c r="G4" s="2">
        <v>1</v>
      </c>
      <c r="H4" s="2">
        <f t="shared" ref="H4:H9" si="2">$B$10*E4+F4</f>
        <v>1059</v>
      </c>
      <c r="I4" s="2">
        <f t="shared" si="0"/>
        <v>105</v>
      </c>
      <c r="J4" s="2">
        <f t="shared" si="1"/>
        <v>1164</v>
      </c>
      <c r="T4" s="79"/>
      <c r="U4" s="23">
        <f>ROUNDUP(U3,0)</f>
        <v>10</v>
      </c>
      <c r="V4" s="23">
        <f>ROUNDDOWN(V3,0)</f>
        <v>10</v>
      </c>
      <c r="Z4" s="2">
        <v>20</v>
      </c>
      <c r="AA4" s="82">
        <v>340</v>
      </c>
      <c r="AB4" s="82"/>
    </row>
    <row r="5" spans="2:36">
      <c r="B5" s="9">
        <v>21</v>
      </c>
      <c r="C5" s="15" t="s">
        <v>10</v>
      </c>
      <c r="D5" s="10">
        <v>30</v>
      </c>
      <c r="E5" s="14">
        <v>47</v>
      </c>
      <c r="F5" s="2">
        <f>D4*(E5-E4)*-1+F4</f>
        <v>119</v>
      </c>
      <c r="G5" s="2">
        <v>2</v>
      </c>
      <c r="H5" s="2">
        <f t="shared" si="2"/>
        <v>1059</v>
      </c>
      <c r="I5" s="2">
        <f t="shared" si="0"/>
        <v>105</v>
      </c>
      <c r="J5" s="2">
        <f t="shared" si="1"/>
        <v>1164</v>
      </c>
      <c r="Z5" s="2">
        <v>25</v>
      </c>
      <c r="AA5" s="82">
        <v>555</v>
      </c>
      <c r="AB5" s="82"/>
    </row>
    <row r="6" spans="2:36">
      <c r="B6" s="5">
        <v>31</v>
      </c>
      <c r="C6" s="17" t="s">
        <v>10</v>
      </c>
      <c r="D6" s="6">
        <v>50</v>
      </c>
      <c r="E6" s="14">
        <v>70</v>
      </c>
      <c r="F6" s="2">
        <f>D5*(E6-E5)*-1+F5</f>
        <v>-571</v>
      </c>
      <c r="G6" s="2">
        <v>3</v>
      </c>
      <c r="H6" s="2">
        <f>$B$10*E6+F6</f>
        <v>829</v>
      </c>
      <c r="I6" s="2">
        <f t="shared" si="0"/>
        <v>82</v>
      </c>
      <c r="J6" s="2">
        <f t="shared" si="1"/>
        <v>911</v>
      </c>
      <c r="U6" s="80">
        <f>LOOKUP(D21,G14:G20,H14:H20)</f>
        <v>1524</v>
      </c>
      <c r="V6" s="81"/>
      <c r="W6" s="80">
        <f>LOOKUP(D21,G14:G20,J14:J20)</f>
        <v>1676</v>
      </c>
      <c r="X6" s="81"/>
      <c r="Z6" s="2">
        <v>40</v>
      </c>
      <c r="AA6" s="82">
        <v>1440</v>
      </c>
      <c r="AB6" s="82"/>
    </row>
    <row r="7" spans="2:36">
      <c r="B7" s="9">
        <v>51</v>
      </c>
      <c r="C7" s="15" t="s">
        <v>10</v>
      </c>
      <c r="D7" s="10">
        <v>100</v>
      </c>
      <c r="E7" s="14">
        <v>102</v>
      </c>
      <c r="F7" s="2">
        <f>D6*(E7-E6)*-1+F6</f>
        <v>-2171</v>
      </c>
      <c r="G7" s="2">
        <v>4</v>
      </c>
      <c r="H7" s="2">
        <f t="shared" si="2"/>
        <v>-131</v>
      </c>
      <c r="I7" s="2">
        <f t="shared" si="0"/>
        <v>-13</v>
      </c>
      <c r="J7" s="2">
        <f t="shared" si="1"/>
        <v>-144</v>
      </c>
      <c r="U7" s="80">
        <f>LOOKUP(V21,Y14:Y20,Z14:Z20)</f>
        <v>1524</v>
      </c>
      <c r="V7" s="81"/>
      <c r="W7" s="80">
        <f>LOOKUP(V21,Y14:Y20,AB14:AB20)</f>
        <v>1676</v>
      </c>
      <c r="X7" s="81"/>
      <c r="Z7" s="2">
        <v>50</v>
      </c>
      <c r="AA7" s="82">
        <v>2590</v>
      </c>
      <c r="AB7" s="82"/>
    </row>
    <row r="8" spans="2:36">
      <c r="B8" s="7">
        <v>101</v>
      </c>
      <c r="C8" s="18" t="s">
        <v>10</v>
      </c>
      <c r="D8" s="8">
        <v>500</v>
      </c>
      <c r="E8" s="14">
        <v>112</v>
      </c>
      <c r="F8" s="2">
        <f>D7*(E8-E7)*-1+F7</f>
        <v>-3171</v>
      </c>
      <c r="G8" s="2">
        <v>5</v>
      </c>
      <c r="H8" s="2">
        <f t="shared" si="2"/>
        <v>-931</v>
      </c>
      <c r="I8" s="2">
        <f t="shared" si="0"/>
        <v>-93</v>
      </c>
      <c r="J8" s="2">
        <f t="shared" si="1"/>
        <v>-1024</v>
      </c>
      <c r="U8" s="26"/>
      <c r="V8" s="26"/>
      <c r="W8" s="26"/>
      <c r="X8" s="26"/>
      <c r="Z8" s="2">
        <v>75</v>
      </c>
      <c r="AA8" s="82">
        <v>5800</v>
      </c>
      <c r="AB8" s="82"/>
    </row>
    <row r="9" spans="2:36">
      <c r="B9" s="7">
        <v>501</v>
      </c>
      <c r="C9" s="18" t="s">
        <v>10</v>
      </c>
      <c r="D9" s="8"/>
      <c r="E9" s="14">
        <v>122</v>
      </c>
      <c r="F9" s="2">
        <f>D8*(E9-E8)*-1+F8</f>
        <v>-8171</v>
      </c>
      <c r="G9" s="2">
        <v>6</v>
      </c>
      <c r="H9" s="2">
        <f t="shared" si="2"/>
        <v>-5731</v>
      </c>
      <c r="I9" s="2">
        <f t="shared" si="0"/>
        <v>-573</v>
      </c>
      <c r="J9" s="2">
        <f t="shared" si="1"/>
        <v>-6304</v>
      </c>
      <c r="Z9" s="2">
        <v>100</v>
      </c>
      <c r="AA9" s="82">
        <v>9400</v>
      </c>
      <c r="AB9" s="82"/>
    </row>
    <row r="10" spans="2:36">
      <c r="B10" s="43">
        <f>新水道料金計算!J6</f>
        <v>20</v>
      </c>
      <c r="D10" s="11">
        <f>R3</f>
        <v>1</v>
      </c>
      <c r="Z10" s="2">
        <v>150</v>
      </c>
      <c r="AA10" s="82">
        <v>19400</v>
      </c>
      <c r="AB10" s="82"/>
    </row>
    <row r="11" spans="2:36">
      <c r="Z11" s="25">
        <v>200</v>
      </c>
      <c r="AA11" s="82">
        <v>29500</v>
      </c>
      <c r="AB11" s="82"/>
    </row>
    <row r="13" spans="2:36">
      <c r="B13" t="s">
        <v>17</v>
      </c>
      <c r="E13" s="12" t="s">
        <v>2</v>
      </c>
      <c r="F13" s="2"/>
      <c r="G13" s="2"/>
      <c r="H13" s="12" t="s">
        <v>1</v>
      </c>
      <c r="I13" s="12" t="s">
        <v>4</v>
      </c>
      <c r="J13" s="12" t="s">
        <v>5</v>
      </c>
      <c r="T13" t="s">
        <v>17</v>
      </c>
      <c r="W13" s="12" t="s">
        <v>2</v>
      </c>
      <c r="X13" s="2"/>
      <c r="Y13" s="2"/>
      <c r="Z13" s="12" t="s">
        <v>1</v>
      </c>
      <c r="AA13" s="12" t="s">
        <v>4</v>
      </c>
      <c r="AB13" s="12" t="s">
        <v>5</v>
      </c>
      <c r="AD13" s="2">
        <f>IF(T21&lt;T15,0,1)</f>
        <v>1</v>
      </c>
      <c r="AE13" s="2">
        <f>IF(T21&lt;T16,0,1)</f>
        <v>0</v>
      </c>
      <c r="AF13" s="2">
        <f>IF(T21&lt;T17,0,1)</f>
        <v>0</v>
      </c>
      <c r="AG13" s="2">
        <f>IF(T21&lt;T18,0,1)</f>
        <v>0</v>
      </c>
      <c r="AH13" s="2">
        <f>IF(T21&lt;T19,0,1)</f>
        <v>0</v>
      </c>
      <c r="AI13" s="2">
        <f>IF(T21&lt;T20,0,1)</f>
        <v>0</v>
      </c>
      <c r="AJ13" s="11">
        <f>SUM(AD13:AI13)</f>
        <v>1</v>
      </c>
    </row>
    <row r="14" spans="2:36">
      <c r="B14" s="9"/>
      <c r="C14" s="15" t="s">
        <v>10</v>
      </c>
      <c r="D14" s="10">
        <v>8</v>
      </c>
      <c r="E14" s="13"/>
      <c r="F14" s="2"/>
      <c r="G14" s="2">
        <v>0</v>
      </c>
      <c r="H14" s="14">
        <f>LOOKUP(新水道料金計算!C7,'（減額後）新水道計算式'!Z3:Z11,'（減額後）新水道計算式'!AA3:AA11)</f>
        <v>1440</v>
      </c>
      <c r="I14" s="2">
        <f t="shared" ref="I14:I20" si="3">ROUNDDOWN(H14*0.1,0)</f>
        <v>144</v>
      </c>
      <c r="J14" s="2">
        <f t="shared" ref="J14:J20" si="4">ROUNDDOWN(H14+I14,0)</f>
        <v>1584</v>
      </c>
      <c r="L14" s="2">
        <f>IF(B21&lt;B15,0,1)</f>
        <v>1</v>
      </c>
      <c r="M14" s="2">
        <f>IF(B21&lt;B16,0,1)</f>
        <v>0</v>
      </c>
      <c r="N14" s="2">
        <f>IF(B21&lt;B17,0,1)</f>
        <v>0</v>
      </c>
      <c r="O14" s="2">
        <f>IF(B21&lt;B18,0,1)</f>
        <v>0</v>
      </c>
      <c r="P14" s="2">
        <f>IF(B21&lt;B19,0,1)</f>
        <v>0</v>
      </c>
      <c r="Q14" s="2">
        <f>IF(B21&lt;B20,0,1)</f>
        <v>0</v>
      </c>
      <c r="R14" s="11">
        <f>SUM(L14:Q14)</f>
        <v>1</v>
      </c>
      <c r="T14" s="9"/>
      <c r="U14" s="15" t="s">
        <v>10</v>
      </c>
      <c r="V14" s="10">
        <v>8</v>
      </c>
      <c r="W14" s="13">
        <f>E3</f>
        <v>0</v>
      </c>
      <c r="X14" s="2"/>
      <c r="Y14" s="2">
        <v>0</v>
      </c>
      <c r="Z14" s="14">
        <f>H14</f>
        <v>1440</v>
      </c>
      <c r="AA14" s="2">
        <f t="shared" ref="AA14:AA20" si="5">ROUNDDOWN(Z14*0.1,0)</f>
        <v>144</v>
      </c>
      <c r="AB14" s="2">
        <f t="shared" ref="AB14:AB20" si="6">ROUNDDOWN(Z14+AA14,0)</f>
        <v>1584</v>
      </c>
    </row>
    <row r="15" spans="2:36">
      <c r="B15" s="3">
        <v>9</v>
      </c>
      <c r="C15" s="16" t="s">
        <v>10</v>
      </c>
      <c r="D15" s="4">
        <v>20</v>
      </c>
      <c r="E15" s="14">
        <v>42</v>
      </c>
      <c r="F15" s="2">
        <f>(D14*E15-H14)*-1</f>
        <v>1104</v>
      </c>
      <c r="G15" s="2">
        <v>1</v>
      </c>
      <c r="H15" s="2">
        <f t="shared" ref="H15:H20" si="7">$B$21*E15+F15</f>
        <v>1524</v>
      </c>
      <c r="I15" s="2">
        <f t="shared" si="3"/>
        <v>152</v>
      </c>
      <c r="J15" s="2">
        <f t="shared" si="4"/>
        <v>1676</v>
      </c>
      <c r="T15" s="3">
        <v>9</v>
      </c>
      <c r="U15" s="16" t="s">
        <v>10</v>
      </c>
      <c r="V15" s="4">
        <v>20</v>
      </c>
      <c r="W15" s="14">
        <f t="shared" ref="W15:W20" si="8">E4</f>
        <v>42</v>
      </c>
      <c r="X15" s="2">
        <f>(V14*W15-Z14)*-1</f>
        <v>1104</v>
      </c>
      <c r="Y15" s="2">
        <v>1</v>
      </c>
      <c r="Z15" s="2">
        <f t="shared" ref="Z15:Z20" si="9">$T$21*W15+X15</f>
        <v>1524</v>
      </c>
      <c r="AA15" s="2">
        <f t="shared" si="5"/>
        <v>152</v>
      </c>
      <c r="AB15" s="2">
        <f t="shared" si="6"/>
        <v>1676</v>
      </c>
    </row>
    <row r="16" spans="2:36">
      <c r="B16" s="9">
        <v>21</v>
      </c>
      <c r="C16" s="15" t="s">
        <v>10</v>
      </c>
      <c r="D16" s="10">
        <v>30</v>
      </c>
      <c r="E16" s="14">
        <v>47</v>
      </c>
      <c r="F16" s="2">
        <f>D15*(E16-E15)*-1+F15</f>
        <v>1004</v>
      </c>
      <c r="G16" s="2">
        <v>2</v>
      </c>
      <c r="H16" s="2">
        <f t="shared" si="7"/>
        <v>1474</v>
      </c>
      <c r="I16" s="2">
        <f t="shared" si="3"/>
        <v>147</v>
      </c>
      <c r="J16" s="2">
        <f t="shared" si="4"/>
        <v>1621</v>
      </c>
      <c r="T16" s="9">
        <v>21</v>
      </c>
      <c r="U16" s="15" t="s">
        <v>10</v>
      </c>
      <c r="V16" s="10">
        <v>30</v>
      </c>
      <c r="W16" s="14">
        <f t="shared" si="8"/>
        <v>47</v>
      </c>
      <c r="X16" s="2">
        <f>V15*(W16-W15)*-1+X15</f>
        <v>1004</v>
      </c>
      <c r="Y16" s="2">
        <v>2</v>
      </c>
      <c r="Z16" s="2">
        <f t="shared" si="9"/>
        <v>1474</v>
      </c>
      <c r="AA16" s="2">
        <f t="shared" si="5"/>
        <v>147</v>
      </c>
      <c r="AB16" s="2">
        <f t="shared" si="6"/>
        <v>1621</v>
      </c>
    </row>
    <row r="17" spans="2:28">
      <c r="B17" s="5">
        <v>31</v>
      </c>
      <c r="C17" s="17" t="s">
        <v>10</v>
      </c>
      <c r="D17" s="6">
        <v>50</v>
      </c>
      <c r="E17" s="14">
        <v>70</v>
      </c>
      <c r="F17" s="2">
        <f>D16*(E17-E16)*-1+F16</f>
        <v>314</v>
      </c>
      <c r="G17" s="2">
        <v>3</v>
      </c>
      <c r="H17" s="2">
        <f t="shared" si="7"/>
        <v>1014</v>
      </c>
      <c r="I17" s="2">
        <f t="shared" si="3"/>
        <v>101</v>
      </c>
      <c r="J17" s="2">
        <f t="shared" si="4"/>
        <v>1115</v>
      </c>
      <c r="T17" s="5">
        <v>31</v>
      </c>
      <c r="U17" s="17" t="s">
        <v>10</v>
      </c>
      <c r="V17" s="6">
        <v>50</v>
      </c>
      <c r="W17" s="14">
        <f t="shared" si="8"/>
        <v>70</v>
      </c>
      <c r="X17" s="2">
        <f>V16*(W17-W16)*-1+X16</f>
        <v>314</v>
      </c>
      <c r="Y17" s="2">
        <v>3</v>
      </c>
      <c r="Z17" s="2">
        <f t="shared" si="9"/>
        <v>1014</v>
      </c>
      <c r="AA17" s="2">
        <f t="shared" si="5"/>
        <v>101</v>
      </c>
      <c r="AB17" s="2">
        <f t="shared" si="6"/>
        <v>1115</v>
      </c>
    </row>
    <row r="18" spans="2:28">
      <c r="B18" s="9">
        <v>51</v>
      </c>
      <c r="C18" s="15" t="s">
        <v>10</v>
      </c>
      <c r="D18" s="10">
        <v>100</v>
      </c>
      <c r="E18" s="14">
        <v>102</v>
      </c>
      <c r="F18" s="2">
        <f>D17*(E18-E17)*-1+F17</f>
        <v>-1286</v>
      </c>
      <c r="G18" s="2">
        <v>4</v>
      </c>
      <c r="H18" s="2">
        <f t="shared" si="7"/>
        <v>-266</v>
      </c>
      <c r="I18" s="2">
        <f t="shared" si="3"/>
        <v>-26</v>
      </c>
      <c r="J18" s="2">
        <f t="shared" si="4"/>
        <v>-292</v>
      </c>
      <c r="T18" s="9">
        <v>51</v>
      </c>
      <c r="U18" s="15" t="s">
        <v>10</v>
      </c>
      <c r="V18" s="10">
        <v>100</v>
      </c>
      <c r="W18" s="14">
        <f t="shared" si="8"/>
        <v>102</v>
      </c>
      <c r="X18" s="2">
        <f>V17*(W18-W17)*-1+X17</f>
        <v>-1286</v>
      </c>
      <c r="Y18" s="2">
        <v>4</v>
      </c>
      <c r="Z18" s="2">
        <f t="shared" si="9"/>
        <v>-266</v>
      </c>
      <c r="AA18" s="2">
        <f t="shared" si="5"/>
        <v>-26</v>
      </c>
      <c r="AB18" s="2">
        <f t="shared" si="6"/>
        <v>-292</v>
      </c>
    </row>
    <row r="19" spans="2:28">
      <c r="B19" s="7">
        <v>101</v>
      </c>
      <c r="C19" s="18" t="s">
        <v>10</v>
      </c>
      <c r="D19" s="8">
        <v>500</v>
      </c>
      <c r="E19" s="14">
        <v>112</v>
      </c>
      <c r="F19" s="2">
        <f>D18*(E19-E18)*-1+F18</f>
        <v>-2286</v>
      </c>
      <c r="G19" s="2">
        <v>5</v>
      </c>
      <c r="H19" s="2">
        <f t="shared" si="7"/>
        <v>-1166</v>
      </c>
      <c r="I19" s="2">
        <f t="shared" si="3"/>
        <v>-116</v>
      </c>
      <c r="J19" s="2">
        <f t="shared" si="4"/>
        <v>-1282</v>
      </c>
      <c r="T19" s="7">
        <v>101</v>
      </c>
      <c r="U19" s="18" t="s">
        <v>10</v>
      </c>
      <c r="V19" s="8">
        <v>500</v>
      </c>
      <c r="W19" s="14">
        <f t="shared" si="8"/>
        <v>112</v>
      </c>
      <c r="X19" s="2">
        <f>V18*(W19-W18)*-1+X18</f>
        <v>-2286</v>
      </c>
      <c r="Y19" s="2">
        <v>5</v>
      </c>
      <c r="Z19" s="2">
        <f t="shared" si="9"/>
        <v>-1166</v>
      </c>
      <c r="AA19" s="2">
        <f t="shared" si="5"/>
        <v>-116</v>
      </c>
      <c r="AB19" s="2">
        <f t="shared" si="6"/>
        <v>-1282</v>
      </c>
    </row>
    <row r="20" spans="2:28">
      <c r="B20" s="7">
        <v>501</v>
      </c>
      <c r="C20" s="18" t="s">
        <v>10</v>
      </c>
      <c r="D20" s="8"/>
      <c r="E20" s="14">
        <v>122</v>
      </c>
      <c r="F20" s="2">
        <f>D19*(E20-E19)*-1+F19</f>
        <v>-7286</v>
      </c>
      <c r="G20" s="2">
        <v>6</v>
      </c>
      <c r="H20" s="2">
        <f t="shared" si="7"/>
        <v>-6066</v>
      </c>
      <c r="I20" s="2">
        <f t="shared" si="3"/>
        <v>-606</v>
      </c>
      <c r="J20" s="2">
        <f t="shared" si="4"/>
        <v>-6672</v>
      </c>
      <c r="T20" s="7">
        <v>501</v>
      </c>
      <c r="U20" s="18" t="s">
        <v>10</v>
      </c>
      <c r="V20" s="8"/>
      <c r="W20" s="14">
        <f t="shared" si="8"/>
        <v>122</v>
      </c>
      <c r="X20" s="2">
        <f>V19*(W20-W19)*-1+X19</f>
        <v>-7286</v>
      </c>
      <c r="Y20" s="2">
        <v>6</v>
      </c>
      <c r="Z20" s="2">
        <f t="shared" si="9"/>
        <v>-6066</v>
      </c>
      <c r="AA20" s="2">
        <f t="shared" si="5"/>
        <v>-606</v>
      </c>
      <c r="AB20" s="2">
        <f t="shared" si="6"/>
        <v>-6672</v>
      </c>
    </row>
    <row r="21" spans="2:28">
      <c r="B21" s="1">
        <f>U4</f>
        <v>10</v>
      </c>
      <c r="D21" s="11">
        <f>R14</f>
        <v>1</v>
      </c>
      <c r="T21" s="1">
        <f>V4</f>
        <v>10</v>
      </c>
      <c r="V21" s="11">
        <f>AJ13</f>
        <v>1</v>
      </c>
    </row>
    <row r="23" spans="2:28" hidden="1"/>
    <row r="24" spans="2:28" hidden="1">
      <c r="B24" t="s">
        <v>6</v>
      </c>
      <c r="E24" s="12" t="s">
        <v>2</v>
      </c>
      <c r="F24" s="2"/>
      <c r="G24" s="2"/>
      <c r="H24" s="12" t="s">
        <v>1</v>
      </c>
      <c r="I24" s="12" t="s">
        <v>4</v>
      </c>
      <c r="J24" s="12" t="s">
        <v>5</v>
      </c>
    </row>
    <row r="25" spans="2:28" hidden="1">
      <c r="B25" s="9"/>
      <c r="C25" s="15" t="s">
        <v>10</v>
      </c>
      <c r="D25" s="10">
        <v>8</v>
      </c>
      <c r="E25" s="13"/>
      <c r="F25" s="2"/>
      <c r="G25" s="2">
        <v>0</v>
      </c>
      <c r="H25" s="14">
        <v>650</v>
      </c>
      <c r="I25" s="2">
        <f t="shared" ref="I25:I30" si="10">ROUNDDOWN(H25*0.08,0)</f>
        <v>52</v>
      </c>
      <c r="J25" s="2">
        <f t="shared" ref="J25:J30" si="11">ROUNDDOWN(H25+I25,0)</f>
        <v>702</v>
      </c>
      <c r="L25" s="2" t="e">
        <f>IF(B31&lt;B26,0,1)</f>
        <v>#REF!</v>
      </c>
      <c r="M25" s="2" t="e">
        <f>IF(B31&lt;B27,0,1)</f>
        <v>#REF!</v>
      </c>
      <c r="N25" s="2" t="e">
        <f>IF(B31&lt;B28,0,1)</f>
        <v>#REF!</v>
      </c>
      <c r="O25" s="2" t="e">
        <f>IF(B31&lt;B29,0,1)</f>
        <v>#REF!</v>
      </c>
      <c r="P25" s="2"/>
      <c r="Q25" s="2" t="e">
        <f>IF(B31&lt;B30,0,1)</f>
        <v>#REF!</v>
      </c>
      <c r="R25" s="11" t="e">
        <f>SUM(L25:Q25)</f>
        <v>#REF!</v>
      </c>
      <c r="T25" s="78" t="e">
        <f>新水道料金計算!#REF!</f>
        <v>#REF!</v>
      </c>
      <c r="U25" s="2" t="e">
        <f>T25/2</f>
        <v>#REF!</v>
      </c>
      <c r="V25" s="2" t="e">
        <f>T25/2</f>
        <v>#REF!</v>
      </c>
    </row>
    <row r="26" spans="2:28" hidden="1">
      <c r="B26" s="3">
        <v>9</v>
      </c>
      <c r="C26" s="16" t="s">
        <v>10</v>
      </c>
      <c r="D26" s="4">
        <v>30</v>
      </c>
      <c r="E26" s="14">
        <v>95</v>
      </c>
      <c r="F26" s="2">
        <f>(D25*E26-H25)*-1</f>
        <v>-110</v>
      </c>
      <c r="G26" s="2">
        <v>1</v>
      </c>
      <c r="H26" s="2" t="e">
        <f>$B$31*E26+F26</f>
        <v>#REF!</v>
      </c>
      <c r="I26" s="2" t="e">
        <f t="shared" si="10"/>
        <v>#REF!</v>
      </c>
      <c r="J26" s="2" t="e">
        <f t="shared" si="11"/>
        <v>#REF!</v>
      </c>
      <c r="T26" s="79"/>
      <c r="U26" s="23" t="e">
        <f>ROUNDUP(U25,0)</f>
        <v>#REF!</v>
      </c>
      <c r="V26" s="23" t="e">
        <f>ROUNDDOWN(V25,0)</f>
        <v>#REF!</v>
      </c>
    </row>
    <row r="27" spans="2:28" hidden="1">
      <c r="B27" s="9">
        <v>31</v>
      </c>
      <c r="C27" s="15" t="s">
        <v>10</v>
      </c>
      <c r="D27" s="10">
        <v>50</v>
      </c>
      <c r="E27" s="14">
        <v>140</v>
      </c>
      <c r="F27" s="2">
        <f>D26*(E27-E26)*-1+F26</f>
        <v>-1460</v>
      </c>
      <c r="G27" s="2">
        <v>2</v>
      </c>
      <c r="H27" s="2" t="e">
        <f>$B$31*E27+F27</f>
        <v>#REF!</v>
      </c>
      <c r="I27" s="2" t="e">
        <f t="shared" si="10"/>
        <v>#REF!</v>
      </c>
      <c r="J27" s="2" t="e">
        <f t="shared" si="11"/>
        <v>#REF!</v>
      </c>
    </row>
    <row r="28" spans="2:28" hidden="1">
      <c r="B28" s="5">
        <v>51</v>
      </c>
      <c r="C28" s="17" t="s">
        <v>10</v>
      </c>
      <c r="D28" s="6">
        <v>100</v>
      </c>
      <c r="E28" s="14">
        <v>195</v>
      </c>
      <c r="F28" s="2">
        <f>D27*(E28-E27)*-1+F27</f>
        <v>-4210</v>
      </c>
      <c r="G28" s="2">
        <v>3</v>
      </c>
      <c r="H28" s="2" t="e">
        <f>$B$31*E28+F28</f>
        <v>#REF!</v>
      </c>
      <c r="I28" s="2" t="e">
        <f t="shared" si="10"/>
        <v>#REF!</v>
      </c>
      <c r="J28" s="2" t="e">
        <f t="shared" si="11"/>
        <v>#REF!</v>
      </c>
      <c r="U28" s="80" t="e">
        <f>LOOKUP(D41,G35:G40,H35:H40)</f>
        <v>#REF!</v>
      </c>
      <c r="V28" s="81"/>
      <c r="W28" s="80" t="e">
        <f>LOOKUP(D41,G35:G40,J35:J40)</f>
        <v>#REF!</v>
      </c>
      <c r="X28" s="81"/>
    </row>
    <row r="29" spans="2:28" hidden="1">
      <c r="B29" s="9">
        <v>101</v>
      </c>
      <c r="C29" s="15" t="s">
        <v>10</v>
      </c>
      <c r="D29" s="10">
        <v>500</v>
      </c>
      <c r="E29" s="14">
        <v>220</v>
      </c>
      <c r="F29" s="2">
        <f>D28*(E29-E28)*-1+F28</f>
        <v>-6710</v>
      </c>
      <c r="G29" s="2">
        <v>4</v>
      </c>
      <c r="H29" s="2" t="e">
        <f>$B$31*E29+F29</f>
        <v>#REF!</v>
      </c>
      <c r="I29" s="2" t="e">
        <f t="shared" si="10"/>
        <v>#REF!</v>
      </c>
      <c r="J29" s="2" t="e">
        <f t="shared" si="11"/>
        <v>#REF!</v>
      </c>
      <c r="U29" s="80" t="e">
        <f>LOOKUP(V41,Y35:Y40,Z35:Z40)</f>
        <v>#REF!</v>
      </c>
      <c r="V29" s="81"/>
      <c r="W29" s="80" t="e">
        <f>LOOKUP(V41,Y35:Y40,AB35:AB40)</f>
        <v>#REF!</v>
      </c>
      <c r="X29" s="81"/>
    </row>
    <row r="30" spans="2:28" hidden="1">
      <c r="B30" s="7">
        <v>501</v>
      </c>
      <c r="C30" s="18" t="s">
        <v>10</v>
      </c>
      <c r="D30" s="8"/>
      <c r="E30" s="14">
        <v>245</v>
      </c>
      <c r="F30" s="2">
        <f>D29*(E30-E29)*-1+F29</f>
        <v>-19210</v>
      </c>
      <c r="G30" s="2">
        <v>5</v>
      </c>
      <c r="H30" s="2" t="e">
        <f>$B$31*E30+F30</f>
        <v>#REF!</v>
      </c>
      <c r="I30" s="2" t="e">
        <f t="shared" si="10"/>
        <v>#REF!</v>
      </c>
      <c r="J30" s="2" t="e">
        <f t="shared" si="11"/>
        <v>#REF!</v>
      </c>
    </row>
    <row r="31" spans="2:28" hidden="1">
      <c r="B31" s="1" t="e">
        <f>新水道料金計算!#REF!</f>
        <v>#REF!</v>
      </c>
      <c r="D31" s="11" t="e">
        <f>R25</f>
        <v>#REF!</v>
      </c>
    </row>
    <row r="32" spans="2:28" hidden="1"/>
    <row r="33" spans="2:36" hidden="1"/>
    <row r="34" spans="2:36" hidden="1">
      <c r="B34" t="s">
        <v>6</v>
      </c>
      <c r="E34" s="12" t="s">
        <v>2</v>
      </c>
      <c r="F34" s="2"/>
      <c r="G34" s="2"/>
      <c r="H34" s="12" t="s">
        <v>1</v>
      </c>
      <c r="I34" s="12" t="s">
        <v>4</v>
      </c>
      <c r="J34" s="12" t="s">
        <v>5</v>
      </c>
      <c r="T34" t="s">
        <v>6</v>
      </c>
      <c r="W34" s="12" t="s">
        <v>2</v>
      </c>
      <c r="X34" s="2"/>
      <c r="Y34" s="2"/>
      <c r="Z34" s="12" t="s">
        <v>1</v>
      </c>
      <c r="AA34" s="12" t="s">
        <v>4</v>
      </c>
      <c r="AB34" s="12" t="s">
        <v>5</v>
      </c>
      <c r="AD34" s="2" t="e">
        <f>IF(T41&lt;T36,0,1)</f>
        <v>#REF!</v>
      </c>
      <c r="AE34" s="2" t="e">
        <f>IF(T41&lt;T37,0,1)</f>
        <v>#REF!</v>
      </c>
      <c r="AF34" s="2" t="e">
        <f>IF(T41&lt;T38,0,1)</f>
        <v>#REF!</v>
      </c>
      <c r="AG34" s="2" t="e">
        <f>IF(T41&lt;T39,0,1)</f>
        <v>#REF!</v>
      </c>
      <c r="AH34" s="2"/>
      <c r="AI34" s="2" t="e">
        <f>IF(T41&lt;T40,0,1)</f>
        <v>#REF!</v>
      </c>
      <c r="AJ34" s="11" t="e">
        <f>SUM(AD34:AI34)</f>
        <v>#REF!</v>
      </c>
    </row>
    <row r="35" spans="2:36" hidden="1">
      <c r="B35" s="9"/>
      <c r="C35" s="15" t="s">
        <v>10</v>
      </c>
      <c r="D35" s="10">
        <v>8</v>
      </c>
      <c r="E35" s="13"/>
      <c r="F35" s="2"/>
      <c r="G35" s="2">
        <v>0</v>
      </c>
      <c r="H35" s="14">
        <f>H25</f>
        <v>650</v>
      </c>
      <c r="I35" s="2">
        <f t="shared" ref="I35:I40" si="12">ROUNDDOWN(H35*0.08,0)</f>
        <v>52</v>
      </c>
      <c r="J35" s="2">
        <f t="shared" ref="J35:J40" si="13">ROUNDDOWN(H35+I35,0)</f>
        <v>702</v>
      </c>
      <c r="L35" s="2" t="e">
        <f>IF(B41&lt;B36,0,1)</f>
        <v>#REF!</v>
      </c>
      <c r="M35" s="2" t="e">
        <f>IF(B41&lt;B37,0,1)</f>
        <v>#REF!</v>
      </c>
      <c r="N35" s="2" t="e">
        <f>IF(B41&lt;B38,0,1)</f>
        <v>#REF!</v>
      </c>
      <c r="O35" s="2" t="e">
        <f>IF(B41&lt;B39,0,1)</f>
        <v>#REF!</v>
      </c>
      <c r="P35" s="2"/>
      <c r="Q35" s="2" t="e">
        <f>IF(B41&lt;B40,0,1)</f>
        <v>#REF!</v>
      </c>
      <c r="R35" s="11" t="e">
        <f>SUM(L35:Q35)</f>
        <v>#REF!</v>
      </c>
      <c r="T35" s="9"/>
      <c r="U35" s="15" t="s">
        <v>10</v>
      </c>
      <c r="V35" s="10">
        <v>8</v>
      </c>
      <c r="W35" s="13"/>
      <c r="X35" s="2"/>
      <c r="Y35" s="2">
        <v>0</v>
      </c>
      <c r="Z35" s="14">
        <f>H25</f>
        <v>650</v>
      </c>
      <c r="AA35" s="2">
        <f t="shared" ref="AA35:AA40" si="14">ROUNDDOWN(Z35*0.08,0)</f>
        <v>52</v>
      </c>
      <c r="AB35" s="2">
        <f t="shared" ref="AB35:AB40" si="15">ROUNDDOWN(Z35+AA35,0)</f>
        <v>702</v>
      </c>
    </row>
    <row r="36" spans="2:36" hidden="1">
      <c r="B36" s="3">
        <v>9</v>
      </c>
      <c r="C36" s="16" t="s">
        <v>10</v>
      </c>
      <c r="D36" s="4">
        <v>30</v>
      </c>
      <c r="E36" s="14">
        <f>E26</f>
        <v>95</v>
      </c>
      <c r="F36" s="2">
        <f>(D35*E36-H35)*-1</f>
        <v>-110</v>
      </c>
      <c r="G36" s="2">
        <v>1</v>
      </c>
      <c r="H36" s="2" t="e">
        <f>$B$41*E36+F36</f>
        <v>#REF!</v>
      </c>
      <c r="I36" s="2" t="e">
        <f t="shared" si="12"/>
        <v>#REF!</v>
      </c>
      <c r="J36" s="2" t="e">
        <f t="shared" si="13"/>
        <v>#REF!</v>
      </c>
      <c r="T36" s="3">
        <v>9</v>
      </c>
      <c r="U36" s="16" t="s">
        <v>10</v>
      </c>
      <c r="V36" s="4">
        <v>30</v>
      </c>
      <c r="W36" s="14">
        <f>E26</f>
        <v>95</v>
      </c>
      <c r="X36" s="2">
        <f>(V35*W36-Z35)*-1</f>
        <v>-110</v>
      </c>
      <c r="Y36" s="2">
        <v>1</v>
      </c>
      <c r="Z36" s="2" t="e">
        <f>$T$41*W36+X36</f>
        <v>#REF!</v>
      </c>
      <c r="AA36" s="2" t="e">
        <f t="shared" si="14"/>
        <v>#REF!</v>
      </c>
      <c r="AB36" s="2" t="e">
        <f t="shared" si="15"/>
        <v>#REF!</v>
      </c>
    </row>
    <row r="37" spans="2:36" hidden="1">
      <c r="B37" s="9">
        <v>31</v>
      </c>
      <c r="C37" s="15" t="s">
        <v>10</v>
      </c>
      <c r="D37" s="10">
        <v>50</v>
      </c>
      <c r="E37" s="14">
        <f>E27</f>
        <v>140</v>
      </c>
      <c r="F37" s="2">
        <f>D36*(E37-E36)*-1+F36</f>
        <v>-1460</v>
      </c>
      <c r="G37" s="2">
        <v>2</v>
      </c>
      <c r="H37" s="2" t="e">
        <f>$B$41*E37+F37</f>
        <v>#REF!</v>
      </c>
      <c r="I37" s="2" t="e">
        <f t="shared" si="12"/>
        <v>#REF!</v>
      </c>
      <c r="J37" s="2" t="e">
        <f t="shared" si="13"/>
        <v>#REF!</v>
      </c>
      <c r="T37" s="9">
        <v>31</v>
      </c>
      <c r="U37" s="15" t="s">
        <v>10</v>
      </c>
      <c r="V37" s="10">
        <v>50</v>
      </c>
      <c r="W37" s="14">
        <f>E27</f>
        <v>140</v>
      </c>
      <c r="X37" s="2">
        <f>V36*(W37-W36)*-1+X36</f>
        <v>-1460</v>
      </c>
      <c r="Y37" s="2">
        <v>2</v>
      </c>
      <c r="Z37" s="2" t="e">
        <f>$T$41*W37+X37</f>
        <v>#REF!</v>
      </c>
      <c r="AA37" s="2" t="e">
        <f t="shared" si="14"/>
        <v>#REF!</v>
      </c>
      <c r="AB37" s="2" t="e">
        <f t="shared" si="15"/>
        <v>#REF!</v>
      </c>
    </row>
    <row r="38" spans="2:36" hidden="1">
      <c r="B38" s="5">
        <v>51</v>
      </c>
      <c r="C38" s="17" t="s">
        <v>10</v>
      </c>
      <c r="D38" s="6">
        <v>100</v>
      </c>
      <c r="E38" s="14">
        <f>E28</f>
        <v>195</v>
      </c>
      <c r="F38" s="2">
        <f>D37*(E38-E37)*-1+F37</f>
        <v>-4210</v>
      </c>
      <c r="G38" s="2">
        <v>3</v>
      </c>
      <c r="H38" s="2" t="e">
        <f>$B$41*E38+F38</f>
        <v>#REF!</v>
      </c>
      <c r="I38" s="2" t="e">
        <f t="shared" si="12"/>
        <v>#REF!</v>
      </c>
      <c r="J38" s="2" t="e">
        <f t="shared" si="13"/>
        <v>#REF!</v>
      </c>
      <c r="T38" s="5">
        <v>51</v>
      </c>
      <c r="U38" s="17" t="s">
        <v>10</v>
      </c>
      <c r="V38" s="6">
        <v>100</v>
      </c>
      <c r="W38" s="14">
        <f>E28</f>
        <v>195</v>
      </c>
      <c r="X38" s="2">
        <f>V37*(W38-W37)*-1+X37</f>
        <v>-4210</v>
      </c>
      <c r="Y38" s="2">
        <v>3</v>
      </c>
      <c r="Z38" s="2" t="e">
        <f>$T$41*W38+X38</f>
        <v>#REF!</v>
      </c>
      <c r="AA38" s="2" t="e">
        <f t="shared" si="14"/>
        <v>#REF!</v>
      </c>
      <c r="AB38" s="2" t="e">
        <f t="shared" si="15"/>
        <v>#REF!</v>
      </c>
    </row>
    <row r="39" spans="2:36" hidden="1">
      <c r="B39" s="9">
        <v>101</v>
      </c>
      <c r="C39" s="15" t="s">
        <v>10</v>
      </c>
      <c r="D39" s="10">
        <v>500</v>
      </c>
      <c r="E39" s="14">
        <f>E29</f>
        <v>220</v>
      </c>
      <c r="F39" s="2">
        <f>D38*(E39-E38)*-1+F38</f>
        <v>-6710</v>
      </c>
      <c r="G39" s="2">
        <v>4</v>
      </c>
      <c r="H39" s="2" t="e">
        <f>$B$41*E39+F39</f>
        <v>#REF!</v>
      </c>
      <c r="I39" s="2" t="e">
        <f t="shared" si="12"/>
        <v>#REF!</v>
      </c>
      <c r="J39" s="2" t="e">
        <f t="shared" si="13"/>
        <v>#REF!</v>
      </c>
      <c r="T39" s="9">
        <v>101</v>
      </c>
      <c r="U39" s="15" t="s">
        <v>10</v>
      </c>
      <c r="V39" s="10">
        <v>500</v>
      </c>
      <c r="W39" s="14">
        <f>E29</f>
        <v>220</v>
      </c>
      <c r="X39" s="2">
        <f>V38*(W39-W38)*-1+X38</f>
        <v>-6710</v>
      </c>
      <c r="Y39" s="2">
        <v>4</v>
      </c>
      <c r="Z39" s="2" t="e">
        <f>$T$41*W39+X39</f>
        <v>#REF!</v>
      </c>
      <c r="AA39" s="2" t="e">
        <f t="shared" si="14"/>
        <v>#REF!</v>
      </c>
      <c r="AB39" s="2" t="e">
        <f t="shared" si="15"/>
        <v>#REF!</v>
      </c>
    </row>
    <row r="40" spans="2:36" hidden="1">
      <c r="B40" s="7">
        <v>501</v>
      </c>
      <c r="C40" s="18" t="s">
        <v>10</v>
      </c>
      <c r="D40" s="8"/>
      <c r="E40" s="14">
        <f>E30</f>
        <v>245</v>
      </c>
      <c r="F40" s="2">
        <f>D39*(E40-E39)*-1+F39</f>
        <v>-19210</v>
      </c>
      <c r="G40" s="2">
        <v>5</v>
      </c>
      <c r="H40" s="2" t="e">
        <f>$B$41*E40+F40</f>
        <v>#REF!</v>
      </c>
      <c r="I40" s="2" t="e">
        <f t="shared" si="12"/>
        <v>#REF!</v>
      </c>
      <c r="J40" s="2" t="e">
        <f t="shared" si="13"/>
        <v>#REF!</v>
      </c>
      <c r="T40" s="7">
        <v>501</v>
      </c>
      <c r="U40" s="18" t="s">
        <v>10</v>
      </c>
      <c r="V40" s="8"/>
      <c r="W40" s="14">
        <f>E30</f>
        <v>245</v>
      </c>
      <c r="X40" s="2">
        <f>V39*(W40-W39)*-1+X39</f>
        <v>-19210</v>
      </c>
      <c r="Y40" s="2">
        <v>5</v>
      </c>
      <c r="Z40" s="2" t="e">
        <f>$T$41*W40+X40</f>
        <v>#REF!</v>
      </c>
      <c r="AA40" s="2" t="e">
        <f t="shared" si="14"/>
        <v>#REF!</v>
      </c>
      <c r="AB40" s="2" t="e">
        <f t="shared" si="15"/>
        <v>#REF!</v>
      </c>
    </row>
    <row r="41" spans="2:36" hidden="1">
      <c r="B41" s="1" t="e">
        <f>U26</f>
        <v>#REF!</v>
      </c>
      <c r="D41" s="11" t="e">
        <f>R35</f>
        <v>#REF!</v>
      </c>
      <c r="T41" s="1" t="e">
        <f>V26</f>
        <v>#REF!</v>
      </c>
      <c r="V41" s="11" t="e">
        <f>AJ34</f>
        <v>#REF!</v>
      </c>
    </row>
    <row r="42" spans="2:36" hidden="1"/>
    <row r="44" spans="2:36">
      <c r="B44" t="s">
        <v>8</v>
      </c>
      <c r="E44" s="12" t="s">
        <v>2</v>
      </c>
      <c r="F44" s="2"/>
      <c r="G44" s="2"/>
      <c r="H44" s="12" t="s">
        <v>1</v>
      </c>
      <c r="I44" s="12" t="s">
        <v>4</v>
      </c>
      <c r="J44" s="12" t="s">
        <v>5</v>
      </c>
    </row>
    <row r="45" spans="2:36">
      <c r="B45" s="9"/>
      <c r="C45" s="15" t="s">
        <v>10</v>
      </c>
      <c r="D45" s="10">
        <v>8</v>
      </c>
      <c r="E45" s="13"/>
      <c r="F45" s="2"/>
      <c r="G45" s="2">
        <v>0</v>
      </c>
      <c r="H45" s="14">
        <f>LOOKUP(新水道料金計算!J15,'（減額後）新水道計算式'!Z3:Z11,'（減額後）新水道計算式'!AA3:AA11)</f>
        <v>340</v>
      </c>
      <c r="I45" s="2">
        <f>ROUNDDOWN(H45*0.1,0)</f>
        <v>34</v>
      </c>
      <c r="J45" s="2">
        <f>ROUNDDOWN(H45+I45,0)</f>
        <v>374</v>
      </c>
      <c r="L45" s="2">
        <f>IF(B50&lt;B46,0,1)</f>
        <v>0</v>
      </c>
      <c r="M45" s="2">
        <f>IF(B50&lt;B47,0,1)</f>
        <v>0</v>
      </c>
      <c r="N45" s="2">
        <f>IF(B50&lt;B48,0,1)</f>
        <v>0</v>
      </c>
      <c r="O45" s="2">
        <f>IF(B50&lt;B49,0,1)</f>
        <v>0</v>
      </c>
      <c r="P45" s="2"/>
      <c r="Q45" s="2">
        <f>IF(B50&lt;B49,0,1)</f>
        <v>0</v>
      </c>
      <c r="R45" s="11">
        <f>SUM(L45:Q45)</f>
        <v>0</v>
      </c>
      <c r="T45" s="78">
        <f>新水道料金計算!C14</f>
        <v>8</v>
      </c>
      <c r="U45" s="2">
        <f>T45/2</f>
        <v>4</v>
      </c>
      <c r="V45" s="2">
        <f>T45/2</f>
        <v>4</v>
      </c>
    </row>
    <row r="46" spans="2:36">
      <c r="B46" s="3">
        <v>9</v>
      </c>
      <c r="C46" s="16" t="s">
        <v>10</v>
      </c>
      <c r="D46" s="4">
        <v>20</v>
      </c>
      <c r="E46" s="14">
        <v>42</v>
      </c>
      <c r="F46" s="2">
        <f>(D45*E46-H45)*-1</f>
        <v>4</v>
      </c>
      <c r="G46" s="2">
        <v>1</v>
      </c>
      <c r="H46" s="2">
        <f>$B$50*E46+F46</f>
        <v>340</v>
      </c>
      <c r="I46" s="2">
        <f>ROUNDDOWN(H46*0.1,0)</f>
        <v>34</v>
      </c>
      <c r="J46" s="2">
        <f>ROUNDDOWN(H46+I46,0)</f>
        <v>374</v>
      </c>
      <c r="T46" s="79"/>
      <c r="U46" s="23">
        <f>ROUNDUP(U45,0)</f>
        <v>4</v>
      </c>
      <c r="V46" s="23">
        <f>ROUNDDOWN(V45,0)</f>
        <v>4</v>
      </c>
    </row>
    <row r="47" spans="2:36">
      <c r="B47" s="9">
        <v>21</v>
      </c>
      <c r="C47" s="15" t="s">
        <v>10</v>
      </c>
      <c r="D47" s="10">
        <v>30</v>
      </c>
      <c r="E47" s="14">
        <v>47</v>
      </c>
      <c r="F47" s="2">
        <f>D46*(E47-E46)*-1+F46</f>
        <v>-96</v>
      </c>
      <c r="G47" s="2">
        <v>2</v>
      </c>
      <c r="H47" s="2">
        <f>$B$50*E47+F47</f>
        <v>280</v>
      </c>
      <c r="I47" s="2">
        <f>ROUNDDOWN(H47*0.1,0)</f>
        <v>28</v>
      </c>
      <c r="J47" s="2">
        <f>ROUNDDOWN(H47+I47,0)</f>
        <v>308</v>
      </c>
    </row>
    <row r="48" spans="2:36">
      <c r="B48" s="9">
        <v>31</v>
      </c>
      <c r="C48" s="15" t="s">
        <v>10</v>
      </c>
      <c r="D48" s="19">
        <v>50</v>
      </c>
      <c r="E48" s="14">
        <v>70</v>
      </c>
      <c r="F48" s="2">
        <f>D47*(E48-E47)*-1+F47</f>
        <v>-786</v>
      </c>
      <c r="G48" s="2">
        <v>3</v>
      </c>
      <c r="H48" s="2">
        <f>$B$50*E48+F48</f>
        <v>-226</v>
      </c>
      <c r="I48" s="2">
        <f>ROUNDDOWN(H48*0.1,0)</f>
        <v>-22</v>
      </c>
      <c r="J48" s="2">
        <f>ROUNDDOWN(H48+I48,0)</f>
        <v>-248</v>
      </c>
      <c r="U48" s="80">
        <f>LOOKUP(D59,G54:G58,H54:H58)</f>
        <v>340</v>
      </c>
      <c r="V48" s="81"/>
      <c r="W48" s="80">
        <f>LOOKUP(D59,G54:G58,J54:J58)</f>
        <v>374</v>
      </c>
      <c r="X48" s="81"/>
    </row>
    <row r="49" spans="2:36">
      <c r="B49" s="9">
        <v>51</v>
      </c>
      <c r="C49" s="15" t="s">
        <v>10</v>
      </c>
      <c r="D49" s="24"/>
      <c r="E49" s="22">
        <v>85</v>
      </c>
      <c r="F49" s="2">
        <f>D48*(E49-E48)*-1+F48</f>
        <v>-1536</v>
      </c>
      <c r="G49" s="10">
        <v>4</v>
      </c>
      <c r="H49" s="2">
        <f>$B$50*E49+F49</f>
        <v>-856</v>
      </c>
      <c r="I49" s="2">
        <f>ROUNDDOWN(H49*0.1,0)</f>
        <v>-85</v>
      </c>
      <c r="J49" s="2">
        <f>ROUNDDOWN(H49+I49,0)</f>
        <v>-941</v>
      </c>
      <c r="U49" s="80">
        <f>LOOKUP(V59,Y54:Y58,Z54:Z58)</f>
        <v>340</v>
      </c>
      <c r="V49" s="81"/>
      <c r="W49" s="80">
        <f>LOOKUP(V59,Y54:Y58,AB54:AB58)</f>
        <v>374</v>
      </c>
      <c r="X49" s="81"/>
    </row>
    <row r="50" spans="2:36">
      <c r="B50" s="20">
        <f>新水道料金計算!J14</f>
        <v>8</v>
      </c>
      <c r="D50" s="21">
        <f>R45</f>
        <v>0</v>
      </c>
    </row>
    <row r="53" spans="2:36">
      <c r="B53" t="s">
        <v>8</v>
      </c>
      <c r="E53" s="12" t="s">
        <v>2</v>
      </c>
      <c r="F53" s="2"/>
      <c r="G53" s="2"/>
      <c r="H53" s="12" t="s">
        <v>1</v>
      </c>
      <c r="I53" s="12" t="s">
        <v>4</v>
      </c>
      <c r="J53" s="12" t="s">
        <v>5</v>
      </c>
      <c r="T53" t="s">
        <v>8</v>
      </c>
      <c r="W53" s="12" t="s">
        <v>2</v>
      </c>
      <c r="X53" s="2"/>
      <c r="Y53" s="2"/>
      <c r="Z53" s="12" t="s">
        <v>1</v>
      </c>
      <c r="AA53" s="12" t="s">
        <v>4</v>
      </c>
      <c r="AB53" s="12" t="s">
        <v>5</v>
      </c>
      <c r="AD53" s="2">
        <f>IF(T59&lt;T55,0,1)</f>
        <v>0</v>
      </c>
      <c r="AE53" s="2">
        <f>IF(T59&lt;T56,0,1)</f>
        <v>0</v>
      </c>
      <c r="AF53" s="2">
        <f>IF(T59&lt;T57,0,1)</f>
        <v>0</v>
      </c>
      <c r="AG53" s="2">
        <f>IF(T59&lt;T58,0,1)</f>
        <v>0</v>
      </c>
      <c r="AH53" s="2"/>
      <c r="AI53" s="2">
        <f>IF(T59&lt;T58,0,1)</f>
        <v>0</v>
      </c>
      <c r="AJ53" s="11">
        <f>SUM(AD53:AI53)</f>
        <v>0</v>
      </c>
    </row>
    <row r="54" spans="2:36">
      <c r="B54" s="9"/>
      <c r="C54" s="15" t="s">
        <v>10</v>
      </c>
      <c r="D54" s="10">
        <v>8</v>
      </c>
      <c r="E54" s="13"/>
      <c r="F54" s="2"/>
      <c r="G54" s="2">
        <v>0</v>
      </c>
      <c r="H54" s="14">
        <f>LOOKUP(新水道料金計算!C15,'（減額後）新水道計算式'!Z3:Z11,'（減額後）新水道計算式'!AA3:AA11)</f>
        <v>340</v>
      </c>
      <c r="I54" s="2">
        <f>ROUNDDOWN(H54*0.1,0)</f>
        <v>34</v>
      </c>
      <c r="J54" s="2">
        <f>ROUNDDOWN(H54+I54,0)</f>
        <v>374</v>
      </c>
      <c r="L54" s="2">
        <f>IF(B59&lt;B55,0,1)</f>
        <v>0</v>
      </c>
      <c r="M54" s="2">
        <f>IF(B59&lt;B56,0,1)</f>
        <v>0</v>
      </c>
      <c r="N54" s="2">
        <f>IF(B59&lt;B57,0,1)</f>
        <v>0</v>
      </c>
      <c r="O54" s="2">
        <f>IF(B59&lt;B58,0,1)</f>
        <v>0</v>
      </c>
      <c r="P54" s="2"/>
      <c r="Q54" s="2">
        <f>IF(B59&lt;B58,0,1)</f>
        <v>0</v>
      </c>
      <c r="R54" s="11">
        <f>SUM(L54:Q54)</f>
        <v>0</v>
      </c>
      <c r="T54" s="9"/>
      <c r="U54" s="15" t="s">
        <v>10</v>
      </c>
      <c r="V54" s="10">
        <v>8</v>
      </c>
      <c r="W54" s="13"/>
      <c r="X54" s="2"/>
      <c r="Y54" s="2">
        <v>0</v>
      </c>
      <c r="Z54" s="14">
        <f>H54</f>
        <v>340</v>
      </c>
      <c r="AA54" s="2">
        <f>ROUNDDOWN(Z54*0.1,0)</f>
        <v>34</v>
      </c>
      <c r="AB54" s="2">
        <f>ROUNDDOWN(Z54+AA54,0)</f>
        <v>374</v>
      </c>
    </row>
    <row r="55" spans="2:36">
      <c r="B55" s="3">
        <v>9</v>
      </c>
      <c r="C55" s="16" t="s">
        <v>10</v>
      </c>
      <c r="D55" s="4">
        <v>20</v>
      </c>
      <c r="E55" s="14">
        <f>E46</f>
        <v>42</v>
      </c>
      <c r="F55" s="2">
        <f>(D54*E55-H54)*-1</f>
        <v>4</v>
      </c>
      <c r="G55" s="2">
        <v>1</v>
      </c>
      <c r="H55" s="2">
        <f>$B$59*E55+F55</f>
        <v>172</v>
      </c>
      <c r="I55" s="2">
        <f>ROUNDDOWN(H55*0.1,0)</f>
        <v>17</v>
      </c>
      <c r="J55" s="2">
        <f>ROUNDDOWN(H55+I55,0)</f>
        <v>189</v>
      </c>
      <c r="T55" s="3">
        <v>9</v>
      </c>
      <c r="U55" s="16" t="s">
        <v>10</v>
      </c>
      <c r="V55" s="4">
        <v>20</v>
      </c>
      <c r="W55" s="14">
        <f>E46</f>
        <v>42</v>
      </c>
      <c r="X55" s="2">
        <f>(V54*W55-Z54)*-1</f>
        <v>4</v>
      </c>
      <c r="Y55" s="2">
        <v>1</v>
      </c>
      <c r="Z55" s="2">
        <f>$T$59*W55+X55</f>
        <v>172</v>
      </c>
      <c r="AA55" s="2">
        <f>ROUNDDOWN(Z55*0.1,0)</f>
        <v>17</v>
      </c>
      <c r="AB55" s="2">
        <f>ROUNDDOWN(Z55+AA55,0)</f>
        <v>189</v>
      </c>
    </row>
    <row r="56" spans="2:36">
      <c r="B56" s="9">
        <v>21</v>
      </c>
      <c r="C56" s="15" t="s">
        <v>10</v>
      </c>
      <c r="D56" s="10">
        <v>30</v>
      </c>
      <c r="E56" s="14">
        <f>E47</f>
        <v>47</v>
      </c>
      <c r="F56" s="2">
        <f>D55*(E56-E55)*-1+F55</f>
        <v>-96</v>
      </c>
      <c r="G56" s="2">
        <v>2</v>
      </c>
      <c r="H56" s="2">
        <f>$B$59*E56+F56</f>
        <v>92</v>
      </c>
      <c r="I56" s="2">
        <f>ROUNDDOWN(H56*0.1,0)</f>
        <v>9</v>
      </c>
      <c r="J56" s="2">
        <f>ROUNDDOWN(H56+I56,0)</f>
        <v>101</v>
      </c>
      <c r="T56" s="9">
        <v>21</v>
      </c>
      <c r="U56" s="15" t="s">
        <v>10</v>
      </c>
      <c r="V56" s="10">
        <v>30</v>
      </c>
      <c r="W56" s="14">
        <f>E47</f>
        <v>47</v>
      </c>
      <c r="X56" s="2">
        <f>V55*(W56-W55)*-1+X55</f>
        <v>-96</v>
      </c>
      <c r="Y56" s="2">
        <v>2</v>
      </c>
      <c r="Z56" s="2">
        <f>$T$59*W56+X56</f>
        <v>92</v>
      </c>
      <c r="AA56" s="2">
        <f>ROUNDDOWN(Z56*0.1,0)</f>
        <v>9</v>
      </c>
      <c r="AB56" s="2">
        <f>ROUNDDOWN(Z56+AA56,0)</f>
        <v>101</v>
      </c>
    </row>
    <row r="57" spans="2:36">
      <c r="B57" s="9">
        <v>31</v>
      </c>
      <c r="C57" s="15" t="s">
        <v>10</v>
      </c>
      <c r="D57" s="19">
        <v>50</v>
      </c>
      <c r="E57" s="14">
        <f>E48</f>
        <v>70</v>
      </c>
      <c r="F57" s="2">
        <f>D56*(E57-E56)*-1+F56</f>
        <v>-786</v>
      </c>
      <c r="G57" s="2">
        <v>3</v>
      </c>
      <c r="H57" s="2">
        <f>$B$59*E57+F57</f>
        <v>-506</v>
      </c>
      <c r="I57" s="2">
        <f>ROUNDDOWN(H57*0.1,0)</f>
        <v>-50</v>
      </c>
      <c r="J57" s="2">
        <f>ROUNDDOWN(H57+I57,0)</f>
        <v>-556</v>
      </c>
      <c r="T57" s="9">
        <v>31</v>
      </c>
      <c r="U57" s="15" t="s">
        <v>10</v>
      </c>
      <c r="V57" s="19">
        <v>50</v>
      </c>
      <c r="W57" s="14">
        <f>E48</f>
        <v>70</v>
      </c>
      <c r="X57" s="2">
        <f>V56*(W57-W56)*-1+X56</f>
        <v>-786</v>
      </c>
      <c r="Y57" s="2">
        <v>3</v>
      </c>
      <c r="Z57" s="2">
        <f>$T$59*W57+X57</f>
        <v>-506</v>
      </c>
      <c r="AA57" s="2">
        <f>ROUNDDOWN(Z57*0.1,0)</f>
        <v>-50</v>
      </c>
      <c r="AB57" s="2">
        <f>ROUNDDOWN(Z57+AA57,0)</f>
        <v>-556</v>
      </c>
    </row>
    <row r="58" spans="2:36">
      <c r="B58" s="9">
        <v>51</v>
      </c>
      <c r="C58" s="15" t="s">
        <v>10</v>
      </c>
      <c r="D58" s="24"/>
      <c r="E58" s="14">
        <f>E49</f>
        <v>85</v>
      </c>
      <c r="F58" s="2">
        <f>D57*(E58-E57)*-1+F57</f>
        <v>-1536</v>
      </c>
      <c r="G58" s="10">
        <v>4</v>
      </c>
      <c r="H58" s="2">
        <f>$B$59*E58+F58</f>
        <v>-1196</v>
      </c>
      <c r="I58" s="2">
        <f>ROUNDDOWN(H58*0.1,0)</f>
        <v>-119</v>
      </c>
      <c r="J58" s="2">
        <f>ROUNDDOWN(H58+I58,0)</f>
        <v>-1315</v>
      </c>
      <c r="T58" s="9">
        <v>51</v>
      </c>
      <c r="U58" s="15" t="s">
        <v>10</v>
      </c>
      <c r="V58" s="24"/>
      <c r="W58" s="14">
        <f>E49</f>
        <v>85</v>
      </c>
      <c r="X58" s="2">
        <f>V57*(W58-W57)*-1+X57</f>
        <v>-1536</v>
      </c>
      <c r="Y58" s="10">
        <v>4</v>
      </c>
      <c r="Z58" s="2">
        <f>$T$59*W58+X58</f>
        <v>-1196</v>
      </c>
      <c r="AA58" s="2">
        <f>ROUNDDOWN(Z58*0.1,0)</f>
        <v>-119</v>
      </c>
      <c r="AB58" s="2">
        <f>ROUNDDOWN(Z58+AA58,0)</f>
        <v>-1315</v>
      </c>
    </row>
    <row r="59" spans="2:36">
      <c r="B59" s="20">
        <f>U46</f>
        <v>4</v>
      </c>
      <c r="D59" s="21">
        <f>R54</f>
        <v>0</v>
      </c>
      <c r="T59" s="20">
        <f>V46</f>
        <v>4</v>
      </c>
      <c r="V59" s="21">
        <f>AJ53</f>
        <v>0</v>
      </c>
    </row>
    <row r="62" spans="2:36">
      <c r="B62" t="s">
        <v>11</v>
      </c>
      <c r="E62" s="12" t="s">
        <v>2</v>
      </c>
      <c r="F62" s="2"/>
      <c r="G62" s="2"/>
      <c r="H62" s="12" t="s">
        <v>1</v>
      </c>
      <c r="I62" s="12" t="s">
        <v>4</v>
      </c>
      <c r="J62" s="12" t="s">
        <v>5</v>
      </c>
    </row>
    <row r="63" spans="2:36">
      <c r="B63" s="9"/>
      <c r="C63" s="15" t="s">
        <v>10</v>
      </c>
      <c r="D63" s="10">
        <v>8</v>
      </c>
      <c r="E63" s="13"/>
      <c r="F63" s="2"/>
      <c r="G63" s="2">
        <v>0</v>
      </c>
      <c r="H63" s="14">
        <v>1100</v>
      </c>
      <c r="I63" s="2">
        <f>ROUNDDOWN(H63*0.1,0)</f>
        <v>110</v>
      </c>
      <c r="J63" s="2">
        <f>ROUNDDOWN(H63+I63,0)</f>
        <v>1210</v>
      </c>
      <c r="L63" s="2">
        <f>IF(B68&lt;B64,0,1)</f>
        <v>0</v>
      </c>
      <c r="M63" s="2"/>
      <c r="N63" s="2"/>
      <c r="O63" s="2"/>
      <c r="P63" s="2"/>
      <c r="Q63" s="2"/>
      <c r="R63" s="11">
        <f>SUM(L63:Q63)</f>
        <v>0</v>
      </c>
      <c r="T63" s="78">
        <f>新水道料金計算!C21</f>
        <v>8</v>
      </c>
      <c r="U63" s="2">
        <f>T63/2</f>
        <v>4</v>
      </c>
      <c r="V63" s="2">
        <f>T63/2</f>
        <v>4</v>
      </c>
    </row>
    <row r="64" spans="2:36">
      <c r="B64" s="3">
        <v>9</v>
      </c>
      <c r="C64" s="16" t="s">
        <v>10</v>
      </c>
      <c r="D64" s="4"/>
      <c r="E64" s="14">
        <v>207</v>
      </c>
      <c r="F64" s="2">
        <f>(D63*E64-H63)*-1</f>
        <v>-556</v>
      </c>
      <c r="G64" s="2">
        <v>1</v>
      </c>
      <c r="H64" s="2">
        <f>$B$68*E64+F64</f>
        <v>1100</v>
      </c>
      <c r="I64" s="2">
        <f>ROUNDDOWN(H64*0.1,0)</f>
        <v>110</v>
      </c>
      <c r="J64" s="2">
        <f>ROUNDDOWN(H64+I64,0)</f>
        <v>1210</v>
      </c>
      <c r="T64" s="79"/>
      <c r="U64" s="23">
        <f>ROUNDUP(U63,0)</f>
        <v>4</v>
      </c>
      <c r="V64" s="23">
        <f>ROUNDDOWN(V63,0)</f>
        <v>4</v>
      </c>
    </row>
    <row r="65" spans="2:36">
      <c r="B65" s="9"/>
      <c r="C65" s="15" t="s">
        <v>10</v>
      </c>
      <c r="D65" s="10"/>
      <c r="E65" s="14"/>
      <c r="F65" s="2">
        <f>D64*(E65-E64)*-1+F64</f>
        <v>-556</v>
      </c>
      <c r="G65" s="2">
        <v>2</v>
      </c>
      <c r="H65" s="2">
        <f>$B$68*E65+F65</f>
        <v>-556</v>
      </c>
      <c r="I65" s="2">
        <f>ROUNDDOWN(H65*0.1,0)</f>
        <v>-55</v>
      </c>
      <c r="J65" s="2">
        <f>ROUNDDOWN(H65+I65,0)</f>
        <v>-611</v>
      </c>
    </row>
    <row r="66" spans="2:36">
      <c r="B66" s="9"/>
      <c r="C66" s="15" t="s">
        <v>10</v>
      </c>
      <c r="D66" s="19"/>
      <c r="E66" s="14"/>
      <c r="F66" s="2">
        <f>D65*(E66-E65)*-1+F65</f>
        <v>-556</v>
      </c>
      <c r="G66" s="2">
        <v>3</v>
      </c>
      <c r="H66" s="2">
        <f>$B$68*E66+F66</f>
        <v>-556</v>
      </c>
      <c r="I66" s="2">
        <f>ROUNDDOWN(H66*0.1,0)</f>
        <v>-55</v>
      </c>
      <c r="J66" s="2">
        <f>ROUNDDOWN(H66+I66,0)</f>
        <v>-611</v>
      </c>
      <c r="U66" s="80">
        <f>LOOKUP(D77,G72:G76,H72:H76)</f>
        <v>1100</v>
      </c>
      <c r="V66" s="81"/>
      <c r="W66" s="80">
        <f>LOOKUP(D77,G72:G76,J72:J76)</f>
        <v>1210</v>
      </c>
      <c r="X66" s="81"/>
    </row>
    <row r="67" spans="2:36">
      <c r="B67" s="9"/>
      <c r="C67" s="15" t="s">
        <v>10</v>
      </c>
      <c r="D67" s="24"/>
      <c r="E67" s="14"/>
      <c r="F67" s="2">
        <f>D66*(E67-E66)*-1+F66</f>
        <v>-556</v>
      </c>
      <c r="G67" s="10">
        <v>4</v>
      </c>
      <c r="H67" s="2">
        <f>$B$68*E67+F67</f>
        <v>-556</v>
      </c>
      <c r="I67" s="2">
        <f>ROUNDDOWN(H67*0.1,0)</f>
        <v>-55</v>
      </c>
      <c r="J67" s="2">
        <f>ROUNDDOWN(H67+I67,0)</f>
        <v>-611</v>
      </c>
      <c r="U67" s="80">
        <f>LOOKUP(V77,Y72:Y76,Z72:Z76)</f>
        <v>1100</v>
      </c>
      <c r="V67" s="81"/>
      <c r="W67" s="80">
        <f>LOOKUP(V77,Y72:Y76,AB72:AB76)</f>
        <v>1210</v>
      </c>
      <c r="X67" s="81"/>
    </row>
    <row r="68" spans="2:36">
      <c r="B68" s="20">
        <f>新水道料金計算!J21</f>
        <v>8</v>
      </c>
      <c r="D68" s="21">
        <f>R63</f>
        <v>0</v>
      </c>
    </row>
    <row r="71" spans="2:36">
      <c r="B71" t="s">
        <v>11</v>
      </c>
      <c r="E71" s="12" t="s">
        <v>2</v>
      </c>
      <c r="F71" s="2"/>
      <c r="G71" s="2"/>
      <c r="H71" s="12" t="s">
        <v>1</v>
      </c>
      <c r="I71" s="12" t="s">
        <v>4</v>
      </c>
      <c r="J71" s="12" t="s">
        <v>5</v>
      </c>
      <c r="T71" t="s">
        <v>11</v>
      </c>
      <c r="W71" s="12" t="s">
        <v>2</v>
      </c>
      <c r="X71" s="2"/>
      <c r="Y71" s="2"/>
      <c r="Z71" s="12" t="s">
        <v>1</v>
      </c>
      <c r="AA71" s="12" t="s">
        <v>4</v>
      </c>
      <c r="AB71" s="12" t="s">
        <v>5</v>
      </c>
    </row>
    <row r="72" spans="2:36">
      <c r="B72" s="9"/>
      <c r="C72" s="15" t="s">
        <v>10</v>
      </c>
      <c r="D72" s="10">
        <v>8</v>
      </c>
      <c r="E72" s="13"/>
      <c r="F72" s="2"/>
      <c r="G72" s="2">
        <v>0</v>
      </c>
      <c r="H72" s="14">
        <v>1100</v>
      </c>
      <c r="I72" s="2">
        <f>ROUNDDOWN(H72*0.1,0)</f>
        <v>110</v>
      </c>
      <c r="J72" s="2">
        <f>ROUNDDOWN(H72+I72,0)</f>
        <v>1210</v>
      </c>
      <c r="L72" s="2">
        <f>IF(B77&lt;B73,0,1)</f>
        <v>0</v>
      </c>
      <c r="M72" s="2"/>
      <c r="N72" s="2"/>
      <c r="O72" s="2"/>
      <c r="P72" s="2"/>
      <c r="Q72" s="2"/>
      <c r="R72" s="11">
        <f>SUM(L72:Q72)</f>
        <v>0</v>
      </c>
      <c r="T72" s="9"/>
      <c r="U72" s="15" t="s">
        <v>10</v>
      </c>
      <c r="V72" s="10">
        <v>8</v>
      </c>
      <c r="W72" s="13"/>
      <c r="X72" s="2"/>
      <c r="Y72" s="2">
        <v>0</v>
      </c>
      <c r="Z72" s="14">
        <v>1100</v>
      </c>
      <c r="AA72" s="2">
        <f>ROUNDDOWN(Z72*0.1,0)</f>
        <v>110</v>
      </c>
      <c r="AB72" s="2">
        <f>ROUNDDOWN(Z72+AA72,0)</f>
        <v>1210</v>
      </c>
      <c r="AD72" s="2">
        <f>IF(T77&lt;T73,0,1)</f>
        <v>0</v>
      </c>
      <c r="AE72" s="2"/>
      <c r="AF72" s="2"/>
      <c r="AG72" s="2"/>
      <c r="AH72" s="2"/>
      <c r="AI72" s="2"/>
      <c r="AJ72" s="11">
        <f>SUM(AD72:AI72)</f>
        <v>0</v>
      </c>
    </row>
    <row r="73" spans="2:36">
      <c r="B73" s="3">
        <v>9</v>
      </c>
      <c r="C73" s="16" t="s">
        <v>10</v>
      </c>
      <c r="D73" s="4"/>
      <c r="E73" s="14">
        <f>E64</f>
        <v>207</v>
      </c>
      <c r="F73" s="2">
        <f>(D72*E73-H72)*-1</f>
        <v>-556</v>
      </c>
      <c r="G73" s="2">
        <v>1</v>
      </c>
      <c r="H73" s="2">
        <f>$B$77*E73+F73</f>
        <v>272</v>
      </c>
      <c r="I73" s="2">
        <f>ROUNDDOWN(H73*0.1,0)</f>
        <v>27</v>
      </c>
      <c r="J73" s="2">
        <f>ROUNDDOWN(H73+I73,0)</f>
        <v>299</v>
      </c>
      <c r="T73" s="3">
        <v>9</v>
      </c>
      <c r="U73" s="16" t="s">
        <v>10</v>
      </c>
      <c r="V73" s="4"/>
      <c r="W73" s="14">
        <f>E64</f>
        <v>207</v>
      </c>
      <c r="X73" s="2">
        <f>(V72*W73-Z72)*-1</f>
        <v>-556</v>
      </c>
      <c r="Y73" s="2">
        <v>1</v>
      </c>
      <c r="Z73" s="2">
        <f>$T$77*W73+X73</f>
        <v>272</v>
      </c>
      <c r="AA73" s="2">
        <f>ROUNDDOWN(Z73*0.1,0)</f>
        <v>27</v>
      </c>
      <c r="AB73" s="2">
        <f>ROUNDDOWN(Z73+AA73,0)</f>
        <v>299</v>
      </c>
    </row>
    <row r="74" spans="2:36">
      <c r="B74" s="9"/>
      <c r="C74" s="15" t="s">
        <v>10</v>
      </c>
      <c r="D74" s="10"/>
      <c r="E74" s="14"/>
      <c r="F74" s="2">
        <f>D73*(E74-E73)*-1+F73</f>
        <v>-556</v>
      </c>
      <c r="G74" s="2">
        <v>2</v>
      </c>
      <c r="H74" s="2">
        <f>$B$77*E74+F74</f>
        <v>-556</v>
      </c>
      <c r="I74" s="2">
        <f>ROUNDDOWN(H74*0.1,0)</f>
        <v>-55</v>
      </c>
      <c r="J74" s="2">
        <f>ROUNDDOWN(H74+I74,0)</f>
        <v>-611</v>
      </c>
      <c r="T74" s="9"/>
      <c r="U74" s="15" t="s">
        <v>10</v>
      </c>
      <c r="V74" s="10"/>
      <c r="W74" s="14"/>
      <c r="X74" s="2">
        <f>V73*(W74-W73)*-1+X73</f>
        <v>-556</v>
      </c>
      <c r="Y74" s="2">
        <v>2</v>
      </c>
      <c r="Z74" s="2">
        <f>$T$77*W74+X74</f>
        <v>-556</v>
      </c>
      <c r="AA74" s="2">
        <f>ROUNDDOWN(Z74*0.1,0)</f>
        <v>-55</v>
      </c>
      <c r="AB74" s="2">
        <f>ROUNDDOWN(Z74+AA74,0)</f>
        <v>-611</v>
      </c>
    </row>
    <row r="75" spans="2:36">
      <c r="B75" s="9"/>
      <c r="C75" s="15" t="s">
        <v>10</v>
      </c>
      <c r="D75" s="19"/>
      <c r="E75" s="14"/>
      <c r="F75" s="2">
        <f>D74*(E75-E74)*-1+F74</f>
        <v>-556</v>
      </c>
      <c r="G75" s="2">
        <v>3</v>
      </c>
      <c r="H75" s="2">
        <f>$B$77*E75+F75</f>
        <v>-556</v>
      </c>
      <c r="I75" s="2">
        <f>ROUNDDOWN(H75*0.1,0)</f>
        <v>-55</v>
      </c>
      <c r="J75" s="2">
        <f>ROUNDDOWN(H75+I75,0)</f>
        <v>-611</v>
      </c>
      <c r="T75" s="9"/>
      <c r="U75" s="15" t="s">
        <v>10</v>
      </c>
      <c r="V75" s="19"/>
      <c r="W75" s="14"/>
      <c r="X75" s="2">
        <f>V74*(W75-W74)*-1+X74</f>
        <v>-556</v>
      </c>
      <c r="Y75" s="2">
        <v>3</v>
      </c>
      <c r="Z75" s="2">
        <f>$T$77*W75+X75</f>
        <v>-556</v>
      </c>
      <c r="AA75" s="2">
        <f>ROUNDDOWN(Z75*0.1,0)</f>
        <v>-55</v>
      </c>
      <c r="AB75" s="2">
        <f>ROUNDDOWN(Z75+AA75,0)</f>
        <v>-611</v>
      </c>
    </row>
    <row r="76" spans="2:36">
      <c r="B76" s="9"/>
      <c r="C76" s="15" t="s">
        <v>10</v>
      </c>
      <c r="D76" s="24"/>
      <c r="E76" s="14"/>
      <c r="F76" s="2">
        <f>D75*(E76-E75)*-1+F75</f>
        <v>-556</v>
      </c>
      <c r="G76" s="10">
        <v>4</v>
      </c>
      <c r="H76" s="2">
        <f>$B$77*E76+F76</f>
        <v>-556</v>
      </c>
      <c r="I76" s="2">
        <f>ROUNDDOWN(H76*0.1,0)</f>
        <v>-55</v>
      </c>
      <c r="J76" s="2">
        <f>ROUNDDOWN(H76+I76,0)</f>
        <v>-611</v>
      </c>
      <c r="T76" s="9"/>
      <c r="U76" s="15" t="s">
        <v>10</v>
      </c>
      <c r="V76" s="24"/>
      <c r="W76" s="14"/>
      <c r="X76" s="2">
        <f>V75*(W76-W75)*-1+X75</f>
        <v>-556</v>
      </c>
      <c r="Y76" s="10">
        <v>4</v>
      </c>
      <c r="Z76" s="2">
        <f>$T$77*W76+X76</f>
        <v>-556</v>
      </c>
      <c r="AA76" s="2">
        <f>ROUNDDOWN(Z76*0.1,0)</f>
        <v>-55</v>
      </c>
      <c r="AB76" s="2">
        <f>ROUNDDOWN(Z76+AA76,0)</f>
        <v>-611</v>
      </c>
    </row>
    <row r="77" spans="2:36">
      <c r="B77" s="20">
        <f>U64</f>
        <v>4</v>
      </c>
      <c r="D77" s="21">
        <f>R72</f>
        <v>0</v>
      </c>
      <c r="T77" s="20">
        <f>V64</f>
        <v>4</v>
      </c>
      <c r="V77" s="21">
        <f>AJ72</f>
        <v>0</v>
      </c>
    </row>
  </sheetData>
  <mergeCells count="30">
    <mergeCell ref="AA10:AB10"/>
    <mergeCell ref="AA11:AB11"/>
    <mergeCell ref="AA9:AB9"/>
    <mergeCell ref="AA2:AB2"/>
    <mergeCell ref="AA4:AB4"/>
    <mergeCell ref="AA5:AB5"/>
    <mergeCell ref="AA6:AB6"/>
    <mergeCell ref="AA7:AB7"/>
    <mergeCell ref="AA8:AB8"/>
    <mergeCell ref="AA3:AB3"/>
    <mergeCell ref="T63:T64"/>
    <mergeCell ref="U66:V66"/>
    <mergeCell ref="W66:X66"/>
    <mergeCell ref="U67:V67"/>
    <mergeCell ref="W67:X67"/>
    <mergeCell ref="T3:T4"/>
    <mergeCell ref="U6:V6"/>
    <mergeCell ref="U7:V7"/>
    <mergeCell ref="W6:X6"/>
    <mergeCell ref="W7:X7"/>
    <mergeCell ref="T45:T46"/>
    <mergeCell ref="U48:V48"/>
    <mergeCell ref="W48:X48"/>
    <mergeCell ref="U49:V49"/>
    <mergeCell ref="W49:X49"/>
    <mergeCell ref="T25:T26"/>
    <mergeCell ref="U28:V28"/>
    <mergeCell ref="W28:X28"/>
    <mergeCell ref="U29:V29"/>
    <mergeCell ref="W29:X29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7"/>
  <sheetViews>
    <sheetView topLeftCell="A22" workbookViewId="0">
      <selection activeCell="B85" sqref="B85"/>
    </sheetView>
  </sheetViews>
  <sheetFormatPr defaultRowHeight="13.5"/>
  <cols>
    <col min="2" max="2" width="5.5" bestFit="1" customWidth="1"/>
    <col min="3" max="3" width="3.375" bestFit="1" customWidth="1"/>
    <col min="4" max="4" width="5.5" bestFit="1" customWidth="1"/>
    <col min="5" max="5" width="5.2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5" width="2.5" bestFit="1" customWidth="1"/>
    <col min="16" max="16" width="2.5" customWidth="1"/>
    <col min="17" max="18" width="2.5" bestFit="1" customWidth="1"/>
    <col min="20" max="20" width="7.875" customWidth="1"/>
    <col min="21" max="21" width="6.375" customWidth="1"/>
    <col min="22" max="22" width="5.25" customWidth="1"/>
    <col min="23" max="23" width="5.25" bestFit="1" customWidth="1"/>
    <col min="24" max="24" width="8" customWidth="1"/>
    <col min="25" max="25" width="2.5" bestFit="1" customWidth="1"/>
    <col min="26" max="26" width="9.25" customWidth="1"/>
    <col min="27" max="28" width="7.125" bestFit="1" customWidth="1"/>
    <col min="29" max="29" width="2" customWidth="1"/>
    <col min="30" max="33" width="2.5" bestFit="1" customWidth="1"/>
    <col min="34" max="34" width="2.5" customWidth="1"/>
    <col min="35" max="36" width="2.5" bestFit="1" customWidth="1"/>
  </cols>
  <sheetData>
    <row r="2" spans="1:36">
      <c r="B2" t="s">
        <v>17</v>
      </c>
      <c r="E2" s="45" t="s">
        <v>2</v>
      </c>
      <c r="F2" s="2"/>
      <c r="G2" s="2"/>
      <c r="H2" s="45" t="s">
        <v>1</v>
      </c>
      <c r="I2" s="45" t="s">
        <v>4</v>
      </c>
      <c r="J2" s="45" t="s">
        <v>5</v>
      </c>
      <c r="Z2" s="45" t="s">
        <v>13</v>
      </c>
      <c r="AA2" s="83" t="s">
        <v>14</v>
      </c>
      <c r="AB2" s="83"/>
    </row>
    <row r="3" spans="1:36">
      <c r="B3" s="9"/>
      <c r="C3" s="15" t="s">
        <v>34</v>
      </c>
      <c r="D3" s="10">
        <v>8</v>
      </c>
      <c r="E3" s="13"/>
      <c r="F3" s="2"/>
      <c r="G3" s="2">
        <v>0</v>
      </c>
      <c r="H3" s="14">
        <f>LOOKUP(新水道料金計算!J7,Z3:Z11,AA3:AA11)</f>
        <v>1110</v>
      </c>
      <c r="I3" s="2">
        <f t="shared" ref="I3:I9" si="0">ROUNDDOWN(H3*0.1,0)</f>
        <v>111</v>
      </c>
      <c r="J3" s="2">
        <f t="shared" ref="J3:J9" si="1">ROUNDDOWN(H3+I3,0)</f>
        <v>1221</v>
      </c>
      <c r="L3" s="2">
        <f>IF(B10&lt;B4,0,1)</f>
        <v>1</v>
      </c>
      <c r="M3" s="2">
        <f>IF(B10&lt;B5,0,1)</f>
        <v>0</v>
      </c>
      <c r="N3" s="2">
        <f>IF(B10&lt;B6,0,1)</f>
        <v>0</v>
      </c>
      <c r="O3" s="2">
        <f>IF(B10&lt;B7,0,1)</f>
        <v>0</v>
      </c>
      <c r="P3" s="2">
        <f>IF(B10&lt;B8,0,1)</f>
        <v>0</v>
      </c>
      <c r="Q3" s="2">
        <f>IF(B10&lt;B9,0,1)</f>
        <v>0</v>
      </c>
      <c r="R3" s="11">
        <f>SUM(L3:Q3)</f>
        <v>1</v>
      </c>
      <c r="T3" s="86">
        <f>新水道料金計算!C6</f>
        <v>20</v>
      </c>
      <c r="U3" s="2">
        <f>T3/2</f>
        <v>10</v>
      </c>
      <c r="V3" s="2">
        <f>T3/2</f>
        <v>10</v>
      </c>
      <c r="Z3" s="2">
        <v>13</v>
      </c>
      <c r="AA3" s="82">
        <v>680</v>
      </c>
      <c r="AB3" s="82"/>
    </row>
    <row r="4" spans="1:36">
      <c r="B4" s="3">
        <v>9</v>
      </c>
      <c r="C4" s="16" t="s">
        <v>10</v>
      </c>
      <c r="D4" s="4">
        <v>20</v>
      </c>
      <c r="E4" s="14">
        <v>85</v>
      </c>
      <c r="F4" s="2">
        <f>(D3*E4-H3)*-1</f>
        <v>430</v>
      </c>
      <c r="G4" s="2">
        <v>1</v>
      </c>
      <c r="H4" s="2">
        <f t="shared" ref="H4:H9" si="2">$B$10*E4+F4</f>
        <v>2130</v>
      </c>
      <c r="I4" s="2">
        <f t="shared" si="0"/>
        <v>213</v>
      </c>
      <c r="J4" s="2">
        <f t="shared" si="1"/>
        <v>2343</v>
      </c>
      <c r="T4" s="79"/>
      <c r="U4" s="23">
        <f>ROUNDUP(U3,0)</f>
        <v>10</v>
      </c>
      <c r="V4" s="23">
        <f>ROUNDDOWN(V3,0)</f>
        <v>10</v>
      </c>
      <c r="Z4" s="2">
        <v>20</v>
      </c>
      <c r="AA4" s="82">
        <v>680</v>
      </c>
      <c r="AB4" s="82"/>
    </row>
    <row r="5" spans="1:36">
      <c r="B5" s="9">
        <v>21</v>
      </c>
      <c r="C5" s="15" t="s">
        <v>10</v>
      </c>
      <c r="D5" s="10">
        <v>30</v>
      </c>
      <c r="E5" s="14">
        <v>95</v>
      </c>
      <c r="F5" s="2">
        <f>D4*(E5-E4)*-1+F4</f>
        <v>230</v>
      </c>
      <c r="G5" s="2">
        <v>2</v>
      </c>
      <c r="H5" s="2">
        <f t="shared" si="2"/>
        <v>2130</v>
      </c>
      <c r="I5" s="2">
        <f t="shared" si="0"/>
        <v>213</v>
      </c>
      <c r="J5" s="2">
        <f t="shared" si="1"/>
        <v>2343</v>
      </c>
      <c r="Z5" s="2">
        <v>25</v>
      </c>
      <c r="AA5" s="82">
        <v>1110</v>
      </c>
      <c r="AB5" s="82"/>
    </row>
    <row r="6" spans="1:36">
      <c r="B6" s="5">
        <v>31</v>
      </c>
      <c r="C6" s="17" t="s">
        <v>10</v>
      </c>
      <c r="D6" s="6">
        <v>50</v>
      </c>
      <c r="E6" s="14">
        <v>140</v>
      </c>
      <c r="F6" s="2">
        <f>D5*(E6-E5)*-1+F5</f>
        <v>-1120</v>
      </c>
      <c r="G6" s="2">
        <v>3</v>
      </c>
      <c r="H6" s="2">
        <f t="shared" si="2"/>
        <v>1680</v>
      </c>
      <c r="I6" s="2">
        <f t="shared" si="0"/>
        <v>168</v>
      </c>
      <c r="J6" s="2">
        <f t="shared" si="1"/>
        <v>1848</v>
      </c>
      <c r="U6" s="80">
        <f>LOOKUP(D21,G14:G20,H14:H20)</f>
        <v>3050</v>
      </c>
      <c r="V6" s="81"/>
      <c r="W6" s="80">
        <f>LOOKUP(D21,G14:G20,J14:J20)</f>
        <v>3355</v>
      </c>
      <c r="X6" s="81"/>
      <c r="Z6" s="2">
        <v>40</v>
      </c>
      <c r="AA6" s="82">
        <v>2880</v>
      </c>
      <c r="AB6" s="82"/>
    </row>
    <row r="7" spans="1:36">
      <c r="B7" s="9">
        <v>51</v>
      </c>
      <c r="C7" s="15" t="s">
        <v>32</v>
      </c>
      <c r="D7" s="10">
        <v>100</v>
      </c>
      <c r="E7" s="14">
        <v>205</v>
      </c>
      <c r="F7" s="2">
        <f>D6*(E7-E6)*-1+F6</f>
        <v>-4370</v>
      </c>
      <c r="G7" s="2">
        <v>4</v>
      </c>
      <c r="H7" s="2">
        <f t="shared" si="2"/>
        <v>-270</v>
      </c>
      <c r="I7" s="2">
        <f t="shared" si="0"/>
        <v>-27</v>
      </c>
      <c r="J7" s="2">
        <f t="shared" si="1"/>
        <v>-297</v>
      </c>
      <c r="U7" s="80">
        <f>LOOKUP(V21,Y14:Y20,Z14:Z20)</f>
        <v>3050</v>
      </c>
      <c r="V7" s="81"/>
      <c r="W7" s="80">
        <f>LOOKUP(V21,Y14:Y20,AB14:AB20)</f>
        <v>3355</v>
      </c>
      <c r="X7" s="81"/>
      <c r="Z7" s="2">
        <v>50</v>
      </c>
      <c r="AA7" s="82">
        <v>5180</v>
      </c>
      <c r="AB7" s="82"/>
    </row>
    <row r="8" spans="1:36">
      <c r="B8" s="7">
        <v>101</v>
      </c>
      <c r="C8" s="18" t="s">
        <v>31</v>
      </c>
      <c r="D8" s="8">
        <v>500</v>
      </c>
      <c r="E8" s="14">
        <v>225</v>
      </c>
      <c r="F8" s="2">
        <f>D7*(E8-E7)*-1+F7</f>
        <v>-6370</v>
      </c>
      <c r="G8" s="2">
        <v>5</v>
      </c>
      <c r="H8" s="2">
        <f t="shared" si="2"/>
        <v>-1870</v>
      </c>
      <c r="I8" s="2">
        <f t="shared" si="0"/>
        <v>-187</v>
      </c>
      <c r="J8" s="2">
        <f t="shared" si="1"/>
        <v>-2057</v>
      </c>
      <c r="U8" s="26"/>
      <c r="V8" s="26"/>
      <c r="W8" s="26"/>
      <c r="X8" s="26"/>
      <c r="Z8" s="2">
        <v>75</v>
      </c>
      <c r="AA8" s="82">
        <v>11600</v>
      </c>
      <c r="AB8" s="82"/>
    </row>
    <row r="9" spans="1:36">
      <c r="B9" s="7">
        <v>501</v>
      </c>
      <c r="C9" s="18" t="s">
        <v>30</v>
      </c>
      <c r="D9" s="8"/>
      <c r="E9" s="14">
        <v>245</v>
      </c>
      <c r="F9" s="2">
        <f>D8*(E9-E8)*-1+F8</f>
        <v>-16370</v>
      </c>
      <c r="G9" s="2">
        <v>6</v>
      </c>
      <c r="H9" s="2">
        <f t="shared" si="2"/>
        <v>-11470</v>
      </c>
      <c r="I9" s="2">
        <f t="shared" si="0"/>
        <v>-1147</v>
      </c>
      <c r="J9" s="2">
        <f t="shared" si="1"/>
        <v>-12617</v>
      </c>
      <c r="Z9" s="2">
        <v>100</v>
      </c>
      <c r="AA9" s="84">
        <v>18800</v>
      </c>
      <c r="AB9" s="85"/>
    </row>
    <row r="10" spans="1:36">
      <c r="B10" s="43">
        <f>新水道料金計算!J6</f>
        <v>20</v>
      </c>
      <c r="D10" s="11">
        <f>R3</f>
        <v>1</v>
      </c>
      <c r="Z10" s="2">
        <v>150</v>
      </c>
      <c r="AA10" s="84">
        <v>38800</v>
      </c>
      <c r="AB10" s="85"/>
    </row>
    <row r="11" spans="1:36">
      <c r="Z11" s="25">
        <v>200</v>
      </c>
      <c r="AA11" s="82">
        <v>59000</v>
      </c>
      <c r="AB11" s="82"/>
    </row>
    <row r="13" spans="1:36">
      <c r="A13" t="s">
        <v>35</v>
      </c>
      <c r="B13" t="s">
        <v>17</v>
      </c>
      <c r="E13" s="45" t="s">
        <v>2</v>
      </c>
      <c r="F13" s="2"/>
      <c r="G13" s="2"/>
      <c r="H13" s="45" t="s">
        <v>1</v>
      </c>
      <c r="I13" s="45" t="s">
        <v>4</v>
      </c>
      <c r="J13" s="45" t="s">
        <v>5</v>
      </c>
      <c r="T13" t="s">
        <v>17</v>
      </c>
      <c r="W13" s="45" t="s">
        <v>2</v>
      </c>
      <c r="X13" s="2"/>
      <c r="Y13" s="2"/>
      <c r="Z13" s="45" t="s">
        <v>1</v>
      </c>
      <c r="AA13" s="45" t="s">
        <v>4</v>
      </c>
      <c r="AB13" s="45" t="s">
        <v>5</v>
      </c>
      <c r="AD13" s="2">
        <f>IF(T21&lt;T15,0,1)</f>
        <v>1</v>
      </c>
      <c r="AE13" s="2">
        <f>IF(T21&lt;T16,0,1)</f>
        <v>0</v>
      </c>
      <c r="AF13" s="2">
        <f>IF(T21&lt;T17,0,1)</f>
        <v>0</v>
      </c>
      <c r="AG13" s="2">
        <f>IF(T21&lt;T18,0,1)</f>
        <v>0</v>
      </c>
      <c r="AH13" s="2">
        <f>IF(T21&lt;T19,0,1)</f>
        <v>0</v>
      </c>
      <c r="AI13" s="2">
        <f>IF(T21&lt;T20,0,1)</f>
        <v>0</v>
      </c>
      <c r="AJ13" s="11">
        <f>SUM(AD13:AI13)</f>
        <v>1</v>
      </c>
    </row>
    <row r="14" spans="1:36">
      <c r="B14" s="9"/>
      <c r="C14" s="15" t="s">
        <v>30</v>
      </c>
      <c r="D14" s="10">
        <v>8</v>
      </c>
      <c r="E14" s="13"/>
      <c r="F14" s="2"/>
      <c r="G14" s="2">
        <v>0</v>
      </c>
      <c r="H14" s="14">
        <f>LOOKUP(新水道料金計算!C7,'（減額前）新水道計算式'!Z3:Z11,'（減額前）新水道計算式'!AA3:AA11)</f>
        <v>2880</v>
      </c>
      <c r="I14" s="2">
        <f t="shared" ref="I14:I20" si="3">ROUNDDOWN(H14*0.1,0)</f>
        <v>288</v>
      </c>
      <c r="J14" s="2">
        <f t="shared" ref="J14:J20" si="4">ROUNDDOWN(H14+I14,0)</f>
        <v>3168</v>
      </c>
      <c r="L14" s="2">
        <f>IF(B21&lt;B15,0,1)</f>
        <v>1</v>
      </c>
      <c r="M14" s="2">
        <f>IF(B21&lt;B16,0,1)</f>
        <v>0</v>
      </c>
      <c r="N14" s="2">
        <f>IF(B21&lt;B17,0,1)</f>
        <v>0</v>
      </c>
      <c r="O14" s="2">
        <f>IF(B21&lt;B18,0,1)</f>
        <v>0</v>
      </c>
      <c r="P14" s="2">
        <f>IF(B21&lt;B19,0,1)</f>
        <v>0</v>
      </c>
      <c r="Q14" s="2">
        <f>IF(B21&lt;B20,0,1)</f>
        <v>0</v>
      </c>
      <c r="R14" s="11">
        <f>SUM(L14:Q14)</f>
        <v>1</v>
      </c>
      <c r="T14" s="9"/>
      <c r="U14" s="15" t="s">
        <v>30</v>
      </c>
      <c r="V14" s="10">
        <v>8</v>
      </c>
      <c r="W14" s="13"/>
      <c r="X14" s="2"/>
      <c r="Y14" s="2">
        <v>0</v>
      </c>
      <c r="Z14" s="14">
        <f>H14</f>
        <v>2880</v>
      </c>
      <c r="AA14" s="2">
        <f t="shared" ref="AA14:AA20" si="5">ROUNDDOWN(Z14*0.1,0)</f>
        <v>288</v>
      </c>
      <c r="AB14" s="2">
        <f t="shared" ref="AB14:AB20" si="6">ROUNDDOWN(Z14+AA14,0)</f>
        <v>3168</v>
      </c>
    </row>
    <row r="15" spans="1:36">
      <c r="B15" s="3">
        <v>9</v>
      </c>
      <c r="C15" s="16" t="s">
        <v>32</v>
      </c>
      <c r="D15" s="4">
        <v>20</v>
      </c>
      <c r="E15" s="14">
        <f>E4</f>
        <v>85</v>
      </c>
      <c r="F15" s="2">
        <f>(D14*E15-H14)*-1</f>
        <v>2200</v>
      </c>
      <c r="G15" s="2">
        <v>1</v>
      </c>
      <c r="H15" s="2">
        <f t="shared" ref="H15:H20" si="7">$B$21*E15+F15</f>
        <v>3050</v>
      </c>
      <c r="I15" s="2">
        <f t="shared" si="3"/>
        <v>305</v>
      </c>
      <c r="J15" s="2">
        <f t="shared" si="4"/>
        <v>3355</v>
      </c>
      <c r="T15" s="3">
        <v>9</v>
      </c>
      <c r="U15" s="16" t="s">
        <v>30</v>
      </c>
      <c r="V15" s="4">
        <v>20</v>
      </c>
      <c r="W15" s="14">
        <f>E15</f>
        <v>85</v>
      </c>
      <c r="X15" s="2">
        <f>(V14*W15-Z14)*-1</f>
        <v>2200</v>
      </c>
      <c r="Y15" s="2">
        <v>1</v>
      </c>
      <c r="Z15" s="2">
        <f t="shared" ref="Z15:Z20" si="8">$T$21*W15+X15</f>
        <v>3050</v>
      </c>
      <c r="AA15" s="2">
        <f t="shared" si="5"/>
        <v>305</v>
      </c>
      <c r="AB15" s="2">
        <f t="shared" si="6"/>
        <v>3355</v>
      </c>
    </row>
    <row r="16" spans="1:36">
      <c r="B16" s="9">
        <v>21</v>
      </c>
      <c r="C16" s="15" t="s">
        <v>30</v>
      </c>
      <c r="D16" s="10">
        <v>30</v>
      </c>
      <c r="E16" s="14">
        <f>E5</f>
        <v>95</v>
      </c>
      <c r="F16" s="2">
        <f>D15*(E16-E15)*-1+F15</f>
        <v>2000</v>
      </c>
      <c r="G16" s="2">
        <v>2</v>
      </c>
      <c r="H16" s="2">
        <f t="shared" si="7"/>
        <v>2950</v>
      </c>
      <c r="I16" s="2">
        <f t="shared" si="3"/>
        <v>295</v>
      </c>
      <c r="J16" s="2">
        <f t="shared" si="4"/>
        <v>3245</v>
      </c>
      <c r="T16" s="9">
        <v>21</v>
      </c>
      <c r="U16" s="15" t="s">
        <v>30</v>
      </c>
      <c r="V16" s="10">
        <v>30</v>
      </c>
      <c r="W16" s="14">
        <f>E16</f>
        <v>95</v>
      </c>
      <c r="X16" s="2">
        <f>V15*(W16-W15)*-1+X15</f>
        <v>2000</v>
      </c>
      <c r="Y16" s="2">
        <v>2</v>
      </c>
      <c r="Z16" s="2">
        <f t="shared" si="8"/>
        <v>2950</v>
      </c>
      <c r="AA16" s="2">
        <f t="shared" si="5"/>
        <v>295</v>
      </c>
      <c r="AB16" s="2">
        <f t="shared" si="6"/>
        <v>3245</v>
      </c>
    </row>
    <row r="17" spans="2:28">
      <c r="B17" s="5">
        <v>31</v>
      </c>
      <c r="C17" s="17" t="s">
        <v>29</v>
      </c>
      <c r="D17" s="6">
        <v>50</v>
      </c>
      <c r="E17" s="14">
        <f>E6</f>
        <v>140</v>
      </c>
      <c r="F17" s="2">
        <f>D16*(E17-E16)*-1+F16</f>
        <v>650</v>
      </c>
      <c r="G17" s="2">
        <v>3</v>
      </c>
      <c r="H17" s="2">
        <f t="shared" si="7"/>
        <v>2050</v>
      </c>
      <c r="I17" s="2">
        <f t="shared" si="3"/>
        <v>205</v>
      </c>
      <c r="J17" s="2">
        <f t="shared" si="4"/>
        <v>2255</v>
      </c>
      <c r="T17" s="5">
        <v>31</v>
      </c>
      <c r="U17" s="17" t="s">
        <v>31</v>
      </c>
      <c r="V17" s="6">
        <v>50</v>
      </c>
      <c r="W17" s="14">
        <f>E17</f>
        <v>140</v>
      </c>
      <c r="X17" s="2">
        <f>V16*(W17-W16)*-1+X16</f>
        <v>650</v>
      </c>
      <c r="Y17" s="2">
        <v>3</v>
      </c>
      <c r="Z17" s="2">
        <f t="shared" si="8"/>
        <v>2050</v>
      </c>
      <c r="AA17" s="2">
        <f t="shared" si="5"/>
        <v>205</v>
      </c>
      <c r="AB17" s="2">
        <f t="shared" si="6"/>
        <v>2255</v>
      </c>
    </row>
    <row r="18" spans="2:28">
      <c r="B18" s="9">
        <v>51</v>
      </c>
      <c r="C18" s="15" t="s">
        <v>30</v>
      </c>
      <c r="D18" s="10">
        <v>100</v>
      </c>
      <c r="E18" s="14">
        <f>E7</f>
        <v>205</v>
      </c>
      <c r="F18" s="2">
        <f>D17*(E18-E17)*-1+F17</f>
        <v>-2600</v>
      </c>
      <c r="G18" s="2">
        <v>4</v>
      </c>
      <c r="H18" s="2">
        <f t="shared" si="7"/>
        <v>-550</v>
      </c>
      <c r="I18" s="2">
        <f t="shared" si="3"/>
        <v>-55</v>
      </c>
      <c r="J18" s="2">
        <f t="shared" si="4"/>
        <v>-605</v>
      </c>
      <c r="T18" s="9">
        <v>51</v>
      </c>
      <c r="U18" s="15" t="s">
        <v>30</v>
      </c>
      <c r="V18" s="10">
        <v>100</v>
      </c>
      <c r="W18" s="14">
        <f>E18</f>
        <v>205</v>
      </c>
      <c r="X18" s="2">
        <f>V17*(W18-W17)*-1+X17</f>
        <v>-2600</v>
      </c>
      <c r="Y18" s="2">
        <v>4</v>
      </c>
      <c r="Z18" s="2">
        <f t="shared" si="8"/>
        <v>-550</v>
      </c>
      <c r="AA18" s="2">
        <f t="shared" si="5"/>
        <v>-55</v>
      </c>
      <c r="AB18" s="2">
        <f t="shared" si="6"/>
        <v>-605</v>
      </c>
    </row>
    <row r="19" spans="2:28">
      <c r="B19" s="7">
        <v>101</v>
      </c>
      <c r="C19" s="18" t="s">
        <v>33</v>
      </c>
      <c r="D19" s="8">
        <v>500</v>
      </c>
      <c r="E19" s="14">
        <v>225</v>
      </c>
      <c r="F19" s="2">
        <f>D18*(E19-E18)*-1+F18</f>
        <v>-4600</v>
      </c>
      <c r="G19" s="2">
        <v>5</v>
      </c>
      <c r="H19" s="2">
        <f t="shared" si="7"/>
        <v>-2350</v>
      </c>
      <c r="I19" s="2">
        <f t="shared" si="3"/>
        <v>-235</v>
      </c>
      <c r="J19" s="2">
        <f t="shared" si="4"/>
        <v>-2585</v>
      </c>
      <c r="T19" s="7">
        <v>101</v>
      </c>
      <c r="U19" s="18" t="s">
        <v>33</v>
      </c>
      <c r="V19" s="8">
        <v>500</v>
      </c>
      <c r="W19" s="14">
        <v>225</v>
      </c>
      <c r="X19" s="2">
        <f>V18*(W19-W18)*-1+X18</f>
        <v>-4600</v>
      </c>
      <c r="Y19" s="2">
        <v>5</v>
      </c>
      <c r="Z19" s="2">
        <f t="shared" si="8"/>
        <v>-2350</v>
      </c>
      <c r="AA19" s="2">
        <f t="shared" si="5"/>
        <v>-235</v>
      </c>
      <c r="AB19" s="2">
        <f t="shared" si="6"/>
        <v>-2585</v>
      </c>
    </row>
    <row r="20" spans="2:28">
      <c r="B20" s="7">
        <v>501</v>
      </c>
      <c r="C20" s="18" t="s">
        <v>29</v>
      </c>
      <c r="D20" s="8"/>
      <c r="E20" s="14">
        <v>245</v>
      </c>
      <c r="F20" s="2">
        <f>D19*(E20-E19)*-1+F19</f>
        <v>-14600</v>
      </c>
      <c r="G20" s="2">
        <v>6</v>
      </c>
      <c r="H20" s="2">
        <f t="shared" si="7"/>
        <v>-12150</v>
      </c>
      <c r="I20" s="2">
        <f t="shared" si="3"/>
        <v>-1215</v>
      </c>
      <c r="J20" s="2">
        <f t="shared" si="4"/>
        <v>-13365</v>
      </c>
      <c r="T20" s="7">
        <v>501</v>
      </c>
      <c r="U20" s="18" t="s">
        <v>32</v>
      </c>
      <c r="V20" s="8"/>
      <c r="W20" s="14">
        <v>245</v>
      </c>
      <c r="X20" s="2">
        <f>V19*(W20-W19)*-1+X19</f>
        <v>-14600</v>
      </c>
      <c r="Y20" s="2">
        <v>6</v>
      </c>
      <c r="Z20" s="2">
        <f t="shared" si="8"/>
        <v>-12150</v>
      </c>
      <c r="AA20" s="2">
        <f t="shared" si="5"/>
        <v>-1215</v>
      </c>
      <c r="AB20" s="2">
        <f t="shared" si="6"/>
        <v>-13365</v>
      </c>
    </row>
    <row r="21" spans="2:28">
      <c r="B21" s="1">
        <f>U4</f>
        <v>10</v>
      </c>
      <c r="D21" s="11">
        <f>R14</f>
        <v>1</v>
      </c>
      <c r="T21" s="1">
        <f>V4</f>
        <v>10</v>
      </c>
      <c r="V21" s="11">
        <f>AJ13</f>
        <v>1</v>
      </c>
    </row>
    <row r="23" spans="2:28" hidden="1"/>
    <row r="24" spans="2:28" hidden="1">
      <c r="B24" t="s">
        <v>6</v>
      </c>
      <c r="E24" s="45" t="s">
        <v>2</v>
      </c>
      <c r="F24" s="2"/>
      <c r="G24" s="2"/>
      <c r="H24" s="45" t="s">
        <v>1</v>
      </c>
      <c r="I24" s="45" t="s">
        <v>4</v>
      </c>
      <c r="J24" s="45" t="s">
        <v>5</v>
      </c>
    </row>
    <row r="25" spans="2:28" hidden="1">
      <c r="B25" s="9"/>
      <c r="C25" s="15" t="s">
        <v>30</v>
      </c>
      <c r="D25" s="10">
        <v>8</v>
      </c>
      <c r="E25" s="13"/>
      <c r="F25" s="2"/>
      <c r="G25" s="2">
        <v>0</v>
      </c>
      <c r="H25" s="14">
        <v>650</v>
      </c>
      <c r="I25" s="2">
        <f t="shared" ref="I25:I30" si="9">ROUNDDOWN(H25*0.08,0)</f>
        <v>52</v>
      </c>
      <c r="J25" s="2">
        <f t="shared" ref="J25:J30" si="10">ROUNDDOWN(H25+I25,0)</f>
        <v>702</v>
      </c>
      <c r="L25" s="2" t="e">
        <f>IF(B31&lt;B26,0,1)</f>
        <v>#REF!</v>
      </c>
      <c r="M25" s="2" t="e">
        <f>IF(B31&lt;B27,0,1)</f>
        <v>#REF!</v>
      </c>
      <c r="N25" s="2" t="e">
        <f>IF(B31&lt;B28,0,1)</f>
        <v>#REF!</v>
      </c>
      <c r="O25" s="2" t="e">
        <f>IF(B31&lt;B29,0,1)</f>
        <v>#REF!</v>
      </c>
      <c r="P25" s="2"/>
      <c r="Q25" s="2" t="e">
        <f>IF(B31&lt;B30,0,1)</f>
        <v>#REF!</v>
      </c>
      <c r="R25" s="11" t="e">
        <f>SUM(L25:Q25)</f>
        <v>#REF!</v>
      </c>
      <c r="T25" s="78" t="e">
        <f>[1]新水道料金計算!#REF!</f>
        <v>#REF!</v>
      </c>
      <c r="U25" s="2" t="e">
        <f>T25/2</f>
        <v>#REF!</v>
      </c>
      <c r="V25" s="2" t="e">
        <f>T25/2</f>
        <v>#REF!</v>
      </c>
    </row>
    <row r="26" spans="2:28" hidden="1">
      <c r="B26" s="3">
        <v>9</v>
      </c>
      <c r="C26" s="16" t="s">
        <v>33</v>
      </c>
      <c r="D26" s="4">
        <v>30</v>
      </c>
      <c r="E26" s="14">
        <v>95</v>
      </c>
      <c r="F26" s="2">
        <f>(D25*E26-H25)*-1</f>
        <v>-110</v>
      </c>
      <c r="G26" s="2">
        <v>1</v>
      </c>
      <c r="H26" s="2" t="e">
        <f>$B$31*E26+F26</f>
        <v>#REF!</v>
      </c>
      <c r="I26" s="2" t="e">
        <f t="shared" si="9"/>
        <v>#REF!</v>
      </c>
      <c r="J26" s="2" t="e">
        <f t="shared" si="10"/>
        <v>#REF!</v>
      </c>
      <c r="T26" s="79"/>
      <c r="U26" s="23" t="e">
        <f>ROUNDUP(U25,0)</f>
        <v>#REF!</v>
      </c>
      <c r="V26" s="23" t="e">
        <f>ROUNDDOWN(V25,0)</f>
        <v>#REF!</v>
      </c>
    </row>
    <row r="27" spans="2:28" hidden="1">
      <c r="B27" s="9">
        <v>31</v>
      </c>
      <c r="C27" s="15" t="s">
        <v>30</v>
      </c>
      <c r="D27" s="10">
        <v>50</v>
      </c>
      <c r="E27" s="14">
        <v>140</v>
      </c>
      <c r="F27" s="2">
        <f>D26*(E27-E26)*-1+F26</f>
        <v>-1460</v>
      </c>
      <c r="G27" s="2">
        <v>2</v>
      </c>
      <c r="H27" s="2" t="e">
        <f>$B$31*E27+F27</f>
        <v>#REF!</v>
      </c>
      <c r="I27" s="2" t="e">
        <f t="shared" si="9"/>
        <v>#REF!</v>
      </c>
      <c r="J27" s="2" t="e">
        <f t="shared" si="10"/>
        <v>#REF!</v>
      </c>
    </row>
    <row r="28" spans="2:28" hidden="1">
      <c r="B28" s="5">
        <v>51</v>
      </c>
      <c r="C28" s="17" t="s">
        <v>29</v>
      </c>
      <c r="D28" s="6">
        <v>100</v>
      </c>
      <c r="E28" s="14">
        <v>195</v>
      </c>
      <c r="F28" s="2">
        <f>D27*(E28-E27)*-1+F27</f>
        <v>-4210</v>
      </c>
      <c r="G28" s="2">
        <v>3</v>
      </c>
      <c r="H28" s="2" t="e">
        <f>$B$31*E28+F28</f>
        <v>#REF!</v>
      </c>
      <c r="I28" s="2" t="e">
        <f t="shared" si="9"/>
        <v>#REF!</v>
      </c>
      <c r="J28" s="2" t="e">
        <f t="shared" si="10"/>
        <v>#REF!</v>
      </c>
      <c r="U28" s="80" t="e">
        <f>LOOKUP(D41,G35:G40,H35:H40)</f>
        <v>#REF!</v>
      </c>
      <c r="V28" s="81"/>
      <c r="W28" s="80" t="e">
        <f>LOOKUP(D41,G35:G40,J35:J40)</f>
        <v>#REF!</v>
      </c>
      <c r="X28" s="81"/>
    </row>
    <row r="29" spans="2:28" hidden="1">
      <c r="B29" s="9">
        <v>101</v>
      </c>
      <c r="C29" s="15" t="s">
        <v>29</v>
      </c>
      <c r="D29" s="10">
        <v>500</v>
      </c>
      <c r="E29" s="14">
        <v>220</v>
      </c>
      <c r="F29" s="2">
        <f>D28*(E29-E28)*-1+F28</f>
        <v>-6710</v>
      </c>
      <c r="G29" s="2">
        <v>4</v>
      </c>
      <c r="H29" s="2" t="e">
        <f>$B$31*E29+F29</f>
        <v>#REF!</v>
      </c>
      <c r="I29" s="2" t="e">
        <f t="shared" si="9"/>
        <v>#REF!</v>
      </c>
      <c r="J29" s="2" t="e">
        <f t="shared" si="10"/>
        <v>#REF!</v>
      </c>
      <c r="U29" s="80" t="e">
        <f>LOOKUP(V41,Y35:Y40,Z35:Z40)</f>
        <v>#REF!</v>
      </c>
      <c r="V29" s="81"/>
      <c r="W29" s="80" t="e">
        <f>LOOKUP(V41,Y35:Y40,AB35:AB40)</f>
        <v>#REF!</v>
      </c>
      <c r="X29" s="81"/>
    </row>
    <row r="30" spans="2:28" hidden="1">
      <c r="B30" s="7">
        <v>501</v>
      </c>
      <c r="C30" s="18" t="s">
        <v>31</v>
      </c>
      <c r="D30" s="8"/>
      <c r="E30" s="14">
        <v>245</v>
      </c>
      <c r="F30" s="2">
        <f>D29*(E30-E29)*-1+F29</f>
        <v>-19210</v>
      </c>
      <c r="G30" s="2">
        <v>5</v>
      </c>
      <c r="H30" s="2" t="e">
        <f>$B$31*E30+F30</f>
        <v>#REF!</v>
      </c>
      <c r="I30" s="2" t="e">
        <f t="shared" si="9"/>
        <v>#REF!</v>
      </c>
      <c r="J30" s="2" t="e">
        <f t="shared" si="10"/>
        <v>#REF!</v>
      </c>
    </row>
    <row r="31" spans="2:28" hidden="1">
      <c r="B31" s="1" t="e">
        <f>[1]新水道料金計算!#REF!</f>
        <v>#REF!</v>
      </c>
      <c r="D31" s="11" t="e">
        <f>R25</f>
        <v>#REF!</v>
      </c>
    </row>
    <row r="32" spans="2:28" hidden="1"/>
    <row r="33" spans="2:36" hidden="1"/>
    <row r="34" spans="2:36" hidden="1">
      <c r="B34" t="s">
        <v>6</v>
      </c>
      <c r="E34" s="45" t="s">
        <v>2</v>
      </c>
      <c r="F34" s="2"/>
      <c r="G34" s="2"/>
      <c r="H34" s="45" t="s">
        <v>1</v>
      </c>
      <c r="I34" s="45" t="s">
        <v>4</v>
      </c>
      <c r="J34" s="45" t="s">
        <v>5</v>
      </c>
      <c r="T34" t="s">
        <v>6</v>
      </c>
      <c r="W34" s="45" t="s">
        <v>2</v>
      </c>
      <c r="X34" s="2"/>
      <c r="Y34" s="2"/>
      <c r="Z34" s="45" t="s">
        <v>1</v>
      </c>
      <c r="AA34" s="45" t="s">
        <v>4</v>
      </c>
      <c r="AB34" s="45" t="s">
        <v>5</v>
      </c>
      <c r="AD34" s="2" t="e">
        <f>IF(T41&lt;T36,0,1)</f>
        <v>#REF!</v>
      </c>
      <c r="AE34" s="2" t="e">
        <f>IF(T41&lt;T37,0,1)</f>
        <v>#REF!</v>
      </c>
      <c r="AF34" s="2" t="e">
        <f>IF(T41&lt;T38,0,1)</f>
        <v>#REF!</v>
      </c>
      <c r="AG34" s="2" t="e">
        <f>IF(T41&lt;T39,0,1)</f>
        <v>#REF!</v>
      </c>
      <c r="AH34" s="2"/>
      <c r="AI34" s="2" t="e">
        <f>IF(T41&lt;T40,0,1)</f>
        <v>#REF!</v>
      </c>
      <c r="AJ34" s="11" t="e">
        <f>SUM(AD34:AI34)</f>
        <v>#REF!</v>
      </c>
    </row>
    <row r="35" spans="2:36" hidden="1">
      <c r="B35" s="9"/>
      <c r="C35" s="15" t="s">
        <v>29</v>
      </c>
      <c r="D35" s="10">
        <v>8</v>
      </c>
      <c r="E35" s="13"/>
      <c r="F35" s="2"/>
      <c r="G35" s="2">
        <v>0</v>
      </c>
      <c r="H35" s="14">
        <f>H25</f>
        <v>650</v>
      </c>
      <c r="I35" s="2">
        <f t="shared" ref="I35:I40" si="11">ROUNDDOWN(H35*0.08,0)</f>
        <v>52</v>
      </c>
      <c r="J35" s="2">
        <f t="shared" ref="J35:J40" si="12">ROUNDDOWN(H35+I35,0)</f>
        <v>702</v>
      </c>
      <c r="L35" s="2" t="e">
        <f>IF(B41&lt;B36,0,1)</f>
        <v>#REF!</v>
      </c>
      <c r="M35" s="2" t="e">
        <f>IF(B41&lt;B37,0,1)</f>
        <v>#REF!</v>
      </c>
      <c r="N35" s="2" t="e">
        <f>IF(B41&lt;B38,0,1)</f>
        <v>#REF!</v>
      </c>
      <c r="O35" s="2" t="e">
        <f>IF(B41&lt;B39,0,1)</f>
        <v>#REF!</v>
      </c>
      <c r="P35" s="2"/>
      <c r="Q35" s="2" t="e">
        <f>IF(B41&lt;B40,0,1)</f>
        <v>#REF!</v>
      </c>
      <c r="R35" s="11" t="e">
        <f>SUM(L35:Q35)</f>
        <v>#REF!</v>
      </c>
      <c r="T35" s="9"/>
      <c r="U35" s="15" t="s">
        <v>29</v>
      </c>
      <c r="V35" s="10">
        <v>8</v>
      </c>
      <c r="W35" s="13"/>
      <c r="X35" s="2"/>
      <c r="Y35" s="2">
        <v>0</v>
      </c>
      <c r="Z35" s="14">
        <f>H25</f>
        <v>650</v>
      </c>
      <c r="AA35" s="2">
        <f t="shared" ref="AA35:AA40" si="13">ROUNDDOWN(Z35*0.08,0)</f>
        <v>52</v>
      </c>
      <c r="AB35" s="2">
        <f t="shared" ref="AB35:AB40" si="14">ROUNDDOWN(Z35+AA35,0)</f>
        <v>702</v>
      </c>
    </row>
    <row r="36" spans="2:36" hidden="1">
      <c r="B36" s="3">
        <v>9</v>
      </c>
      <c r="C36" s="16" t="s">
        <v>29</v>
      </c>
      <c r="D36" s="4">
        <v>30</v>
      </c>
      <c r="E36" s="14">
        <f>E26</f>
        <v>95</v>
      </c>
      <c r="F36" s="2">
        <f>(D35*E36-H35)*-1</f>
        <v>-110</v>
      </c>
      <c r="G36" s="2">
        <v>1</v>
      </c>
      <c r="H36" s="2" t="e">
        <f>$B$41*E36+F36</f>
        <v>#REF!</v>
      </c>
      <c r="I36" s="2" t="e">
        <f t="shared" si="11"/>
        <v>#REF!</v>
      </c>
      <c r="J36" s="2" t="e">
        <f t="shared" si="12"/>
        <v>#REF!</v>
      </c>
      <c r="T36" s="3">
        <v>9</v>
      </c>
      <c r="U36" s="16" t="s">
        <v>29</v>
      </c>
      <c r="V36" s="4">
        <v>30</v>
      </c>
      <c r="W36" s="14">
        <f>E26</f>
        <v>95</v>
      </c>
      <c r="X36" s="2">
        <f>(V35*W36-Z35)*-1</f>
        <v>-110</v>
      </c>
      <c r="Y36" s="2">
        <v>1</v>
      </c>
      <c r="Z36" s="2" t="e">
        <f>$T$41*W36+X36</f>
        <v>#REF!</v>
      </c>
      <c r="AA36" s="2" t="e">
        <f t="shared" si="13"/>
        <v>#REF!</v>
      </c>
      <c r="AB36" s="2" t="e">
        <f t="shared" si="14"/>
        <v>#REF!</v>
      </c>
    </row>
    <row r="37" spans="2:36" hidden="1">
      <c r="B37" s="9">
        <v>31</v>
      </c>
      <c r="C37" s="15" t="s">
        <v>29</v>
      </c>
      <c r="D37" s="10">
        <v>50</v>
      </c>
      <c r="E37" s="14">
        <f>E27</f>
        <v>140</v>
      </c>
      <c r="F37" s="2">
        <f>D36*(E37-E36)*-1+F36</f>
        <v>-1460</v>
      </c>
      <c r="G37" s="2">
        <v>2</v>
      </c>
      <c r="H37" s="2" t="e">
        <f>$B$41*E37+F37</f>
        <v>#REF!</v>
      </c>
      <c r="I37" s="2" t="e">
        <f t="shared" si="11"/>
        <v>#REF!</v>
      </c>
      <c r="J37" s="2" t="e">
        <f t="shared" si="12"/>
        <v>#REF!</v>
      </c>
      <c r="T37" s="9">
        <v>31</v>
      </c>
      <c r="U37" s="15" t="s">
        <v>29</v>
      </c>
      <c r="V37" s="10">
        <v>50</v>
      </c>
      <c r="W37" s="14">
        <f>E27</f>
        <v>140</v>
      </c>
      <c r="X37" s="2">
        <f>V36*(W37-W36)*-1+X36</f>
        <v>-1460</v>
      </c>
      <c r="Y37" s="2">
        <v>2</v>
      </c>
      <c r="Z37" s="2" t="e">
        <f>$T$41*W37+X37</f>
        <v>#REF!</v>
      </c>
      <c r="AA37" s="2" t="e">
        <f t="shared" si="13"/>
        <v>#REF!</v>
      </c>
      <c r="AB37" s="2" t="e">
        <f t="shared" si="14"/>
        <v>#REF!</v>
      </c>
    </row>
    <row r="38" spans="2:36" hidden="1">
      <c r="B38" s="5">
        <v>51</v>
      </c>
      <c r="C38" s="17" t="s">
        <v>29</v>
      </c>
      <c r="D38" s="6">
        <v>100</v>
      </c>
      <c r="E38" s="14">
        <f>E28</f>
        <v>195</v>
      </c>
      <c r="F38" s="2">
        <f>D37*(E38-E37)*-1+F37</f>
        <v>-4210</v>
      </c>
      <c r="G38" s="2">
        <v>3</v>
      </c>
      <c r="H38" s="2" t="e">
        <f>$B$41*E38+F38</f>
        <v>#REF!</v>
      </c>
      <c r="I38" s="2" t="e">
        <f t="shared" si="11"/>
        <v>#REF!</v>
      </c>
      <c r="J38" s="2" t="e">
        <f t="shared" si="12"/>
        <v>#REF!</v>
      </c>
      <c r="T38" s="5">
        <v>51</v>
      </c>
      <c r="U38" s="17" t="s">
        <v>29</v>
      </c>
      <c r="V38" s="6">
        <v>100</v>
      </c>
      <c r="W38" s="14">
        <f>E28</f>
        <v>195</v>
      </c>
      <c r="X38" s="2">
        <f>V37*(W38-W37)*-1+X37</f>
        <v>-4210</v>
      </c>
      <c r="Y38" s="2">
        <v>3</v>
      </c>
      <c r="Z38" s="2" t="e">
        <f>$T$41*W38+X38</f>
        <v>#REF!</v>
      </c>
      <c r="AA38" s="2" t="e">
        <f t="shared" si="13"/>
        <v>#REF!</v>
      </c>
      <c r="AB38" s="2" t="e">
        <f t="shared" si="14"/>
        <v>#REF!</v>
      </c>
    </row>
    <row r="39" spans="2:36" hidden="1">
      <c r="B39" s="9">
        <v>101</v>
      </c>
      <c r="C39" s="15" t="s">
        <v>29</v>
      </c>
      <c r="D39" s="10">
        <v>500</v>
      </c>
      <c r="E39" s="14">
        <f>E29</f>
        <v>220</v>
      </c>
      <c r="F39" s="2">
        <f>D38*(E39-E38)*-1+F38</f>
        <v>-6710</v>
      </c>
      <c r="G39" s="2">
        <v>4</v>
      </c>
      <c r="H39" s="2" t="e">
        <f>$B$41*E39+F39</f>
        <v>#REF!</v>
      </c>
      <c r="I39" s="2" t="e">
        <f t="shared" si="11"/>
        <v>#REF!</v>
      </c>
      <c r="J39" s="2" t="e">
        <f t="shared" si="12"/>
        <v>#REF!</v>
      </c>
      <c r="T39" s="9">
        <v>101</v>
      </c>
      <c r="U39" s="15" t="s">
        <v>29</v>
      </c>
      <c r="V39" s="10">
        <v>500</v>
      </c>
      <c r="W39" s="14">
        <f>E29</f>
        <v>220</v>
      </c>
      <c r="X39" s="2">
        <f>V38*(W39-W38)*-1+X38</f>
        <v>-6710</v>
      </c>
      <c r="Y39" s="2">
        <v>4</v>
      </c>
      <c r="Z39" s="2" t="e">
        <f>$T$41*W39+X39</f>
        <v>#REF!</v>
      </c>
      <c r="AA39" s="2" t="e">
        <f t="shared" si="13"/>
        <v>#REF!</v>
      </c>
      <c r="AB39" s="2" t="e">
        <f t="shared" si="14"/>
        <v>#REF!</v>
      </c>
    </row>
    <row r="40" spans="2:36" hidden="1">
      <c r="B40" s="7">
        <v>501</v>
      </c>
      <c r="C40" s="18" t="s">
        <v>32</v>
      </c>
      <c r="D40" s="8"/>
      <c r="E40" s="14">
        <f>E30</f>
        <v>245</v>
      </c>
      <c r="F40" s="2">
        <f>D39*(E40-E39)*-1+F39</f>
        <v>-19210</v>
      </c>
      <c r="G40" s="2">
        <v>5</v>
      </c>
      <c r="H40" s="2" t="e">
        <f>$B$41*E40+F40</f>
        <v>#REF!</v>
      </c>
      <c r="I40" s="2" t="e">
        <f t="shared" si="11"/>
        <v>#REF!</v>
      </c>
      <c r="J40" s="2" t="e">
        <f t="shared" si="12"/>
        <v>#REF!</v>
      </c>
      <c r="T40" s="7">
        <v>501</v>
      </c>
      <c r="U40" s="18" t="s">
        <v>31</v>
      </c>
      <c r="V40" s="8"/>
      <c r="W40" s="14">
        <f>E30</f>
        <v>245</v>
      </c>
      <c r="X40" s="2">
        <f>V39*(W40-W39)*-1+X39</f>
        <v>-19210</v>
      </c>
      <c r="Y40" s="2">
        <v>5</v>
      </c>
      <c r="Z40" s="2" t="e">
        <f>$T$41*W40+X40</f>
        <v>#REF!</v>
      </c>
      <c r="AA40" s="2" t="e">
        <f t="shared" si="13"/>
        <v>#REF!</v>
      </c>
      <c r="AB40" s="2" t="e">
        <f t="shared" si="14"/>
        <v>#REF!</v>
      </c>
    </row>
    <row r="41" spans="2:36" hidden="1">
      <c r="B41" s="1" t="e">
        <f>U26</f>
        <v>#REF!</v>
      </c>
      <c r="D41" s="11" t="e">
        <f>R35</f>
        <v>#REF!</v>
      </c>
      <c r="T41" s="1" t="e">
        <f>V26</f>
        <v>#REF!</v>
      </c>
      <c r="V41" s="11" t="e">
        <f>AJ34</f>
        <v>#REF!</v>
      </c>
    </row>
    <row r="42" spans="2:36" hidden="1"/>
    <row r="44" spans="2:36">
      <c r="B44" t="s">
        <v>8</v>
      </c>
      <c r="E44" s="45" t="s">
        <v>2</v>
      </c>
      <c r="F44" s="2"/>
      <c r="G44" s="2"/>
      <c r="H44" s="45" t="s">
        <v>1</v>
      </c>
      <c r="I44" s="45" t="s">
        <v>4</v>
      </c>
      <c r="J44" s="45" t="s">
        <v>5</v>
      </c>
    </row>
    <row r="45" spans="2:36">
      <c r="B45" s="9"/>
      <c r="C45" s="15" t="s">
        <v>33</v>
      </c>
      <c r="D45" s="10">
        <v>8</v>
      </c>
      <c r="E45" s="13"/>
      <c r="F45" s="2"/>
      <c r="G45" s="2">
        <v>0</v>
      </c>
      <c r="H45" s="14">
        <f>LOOKUP(新水道料金計算!J15,'（減額前）新水道計算式'!Z3:Z11,'（減額前）新水道計算式'!AA3:AA11)</f>
        <v>680</v>
      </c>
      <c r="I45" s="2">
        <f>ROUNDDOWN(H45*0.1,0)</f>
        <v>68</v>
      </c>
      <c r="J45" s="2">
        <f>ROUNDDOWN(H45+I45,0)</f>
        <v>748</v>
      </c>
      <c r="L45" s="2">
        <f>IF(B50&lt;B46,0,1)</f>
        <v>0</v>
      </c>
      <c r="M45" s="2">
        <f>IF(B50&lt;B47,0,1)</f>
        <v>0</v>
      </c>
      <c r="N45" s="2">
        <f>IF(B50&lt;B48,0,1)</f>
        <v>0</v>
      </c>
      <c r="O45" s="2">
        <f>IF(B50&lt;B49,0,1)</f>
        <v>0</v>
      </c>
      <c r="P45" s="2"/>
      <c r="Q45" s="2">
        <f>IF(B50&lt;B49,0,1)</f>
        <v>0</v>
      </c>
      <c r="R45" s="11">
        <f>SUM(L45:Q45)</f>
        <v>0</v>
      </c>
      <c r="T45" s="86">
        <f>新水道料金計算!C14</f>
        <v>8</v>
      </c>
      <c r="U45" s="2">
        <f>T45/2</f>
        <v>4</v>
      </c>
      <c r="V45" s="2">
        <f>T45/2</f>
        <v>4</v>
      </c>
    </row>
    <row r="46" spans="2:36">
      <c r="B46" s="3">
        <v>9</v>
      </c>
      <c r="C46" s="16" t="s">
        <v>33</v>
      </c>
      <c r="D46" s="4">
        <v>20</v>
      </c>
      <c r="E46" s="14">
        <v>85</v>
      </c>
      <c r="F46" s="2">
        <f>(D45*E46-H45)*-1</f>
        <v>0</v>
      </c>
      <c r="G46" s="2">
        <v>1</v>
      </c>
      <c r="H46" s="2">
        <f>$B$50*E46+F46</f>
        <v>680</v>
      </c>
      <c r="I46" s="2">
        <f>ROUNDDOWN(H46*0.1,0)</f>
        <v>68</v>
      </c>
      <c r="J46" s="2">
        <f>ROUNDDOWN(H46+I46,0)</f>
        <v>748</v>
      </c>
      <c r="T46" s="79"/>
      <c r="U46" s="23">
        <f>ROUNDUP(U45,0)</f>
        <v>4</v>
      </c>
      <c r="V46" s="23">
        <f>ROUNDDOWN(V45,0)</f>
        <v>4</v>
      </c>
    </row>
    <row r="47" spans="2:36">
      <c r="B47" s="9">
        <v>21</v>
      </c>
      <c r="C47" s="15" t="s">
        <v>33</v>
      </c>
      <c r="D47" s="10">
        <v>30</v>
      </c>
      <c r="E47" s="14">
        <f>E36</f>
        <v>95</v>
      </c>
      <c r="F47" s="2">
        <f>D46*(E47-E46)*-1+F46</f>
        <v>-200</v>
      </c>
      <c r="G47" s="2">
        <v>2</v>
      </c>
      <c r="H47" s="2">
        <f>$B$50*E47+F47</f>
        <v>560</v>
      </c>
      <c r="I47" s="2">
        <f>ROUNDDOWN(H47*0.1,0)</f>
        <v>56</v>
      </c>
      <c r="J47" s="2">
        <f>ROUNDDOWN(H47+I47,0)</f>
        <v>616</v>
      </c>
    </row>
    <row r="48" spans="2:36">
      <c r="B48" s="9">
        <v>31</v>
      </c>
      <c r="C48" s="15" t="s">
        <v>33</v>
      </c>
      <c r="D48" s="19">
        <v>50</v>
      </c>
      <c r="E48" s="14">
        <f>E37</f>
        <v>140</v>
      </c>
      <c r="F48" s="2">
        <f>D47*(E48-E47)*-1+F47</f>
        <v>-1550</v>
      </c>
      <c r="G48" s="2">
        <v>3</v>
      </c>
      <c r="H48" s="2">
        <f>$B$50*E48+F48</f>
        <v>-430</v>
      </c>
      <c r="I48" s="2">
        <f>ROUNDDOWN(H48*0.1,0)</f>
        <v>-43</v>
      </c>
      <c r="J48" s="2">
        <f>ROUNDDOWN(H48+I48,0)</f>
        <v>-473</v>
      </c>
      <c r="U48" s="80">
        <f>LOOKUP(D59,G54:G58,H54:H58)</f>
        <v>680</v>
      </c>
      <c r="V48" s="81"/>
      <c r="W48" s="80">
        <f>LOOKUP(D59,G54:G58,J54:J58)</f>
        <v>748</v>
      </c>
      <c r="X48" s="81"/>
    </row>
    <row r="49" spans="2:36">
      <c r="B49" s="9">
        <v>51</v>
      </c>
      <c r="C49" s="15" t="s">
        <v>33</v>
      </c>
      <c r="D49" s="24"/>
      <c r="E49" s="22">
        <v>170</v>
      </c>
      <c r="F49" s="2">
        <f>D48*(E49-E48)*-1+F48</f>
        <v>-3050</v>
      </c>
      <c r="G49" s="10">
        <v>4</v>
      </c>
      <c r="H49" s="2">
        <f>$B$50*E49+F49</f>
        <v>-1690</v>
      </c>
      <c r="I49" s="2">
        <f>ROUNDDOWN(H49*0.1,0)</f>
        <v>-169</v>
      </c>
      <c r="J49" s="2">
        <f>ROUNDDOWN(H49+I49,0)</f>
        <v>-1859</v>
      </c>
      <c r="U49" s="80">
        <f>LOOKUP(V59,Y54:Y58,Z54:Z58)</f>
        <v>680</v>
      </c>
      <c r="V49" s="81"/>
      <c r="W49" s="80">
        <f>LOOKUP(V59,Y54:Y58,AB54:AB58)</f>
        <v>748</v>
      </c>
      <c r="X49" s="81"/>
    </row>
    <row r="50" spans="2:36">
      <c r="B50" s="46">
        <f>新水道料金計算!J14</f>
        <v>8</v>
      </c>
      <c r="D50" s="21">
        <f>R45</f>
        <v>0</v>
      </c>
    </row>
    <row r="53" spans="2:36">
      <c r="B53" t="s">
        <v>8</v>
      </c>
      <c r="E53" s="45" t="s">
        <v>2</v>
      </c>
      <c r="F53" s="2"/>
      <c r="G53" s="2"/>
      <c r="H53" s="45" t="s">
        <v>1</v>
      </c>
      <c r="I53" s="45" t="s">
        <v>4</v>
      </c>
      <c r="J53" s="45" t="s">
        <v>5</v>
      </c>
      <c r="T53" t="s">
        <v>8</v>
      </c>
      <c r="W53" s="45" t="s">
        <v>2</v>
      </c>
      <c r="X53" s="2"/>
      <c r="Y53" s="2"/>
      <c r="Z53" s="45" t="s">
        <v>1</v>
      </c>
      <c r="AA53" s="45" t="s">
        <v>4</v>
      </c>
      <c r="AB53" s="45" t="s">
        <v>5</v>
      </c>
      <c r="AD53" s="2">
        <f>IF(T59&lt;T55,0,1)</f>
        <v>0</v>
      </c>
      <c r="AE53" s="2">
        <f>IF(T59&lt;T56,0,1)</f>
        <v>0</v>
      </c>
      <c r="AF53" s="2">
        <f>IF(T59&lt;T57,0,1)</f>
        <v>0</v>
      </c>
      <c r="AG53" s="2">
        <f>IF(T59&lt;T58,0,1)</f>
        <v>0</v>
      </c>
      <c r="AH53" s="2"/>
      <c r="AI53" s="2">
        <f>IF(T59&lt;T58,0,1)</f>
        <v>0</v>
      </c>
      <c r="AJ53" s="11">
        <f>SUM(AD53:AI53)</f>
        <v>0</v>
      </c>
    </row>
    <row r="54" spans="2:36">
      <c r="B54" s="9"/>
      <c r="C54" s="15" t="s">
        <v>30</v>
      </c>
      <c r="D54" s="10">
        <v>8</v>
      </c>
      <c r="E54" s="13"/>
      <c r="F54" s="2"/>
      <c r="G54" s="2">
        <v>0</v>
      </c>
      <c r="H54" s="14">
        <f>LOOKUP(新水道料金計算!C15,'（減額前）新水道計算式'!Z3:Z11,'（減額前）新水道計算式'!AA3:AA11)</f>
        <v>680</v>
      </c>
      <c r="I54" s="2">
        <f>ROUNDDOWN(H54*0.1,0)</f>
        <v>68</v>
      </c>
      <c r="J54" s="2">
        <f>ROUNDDOWN(H54+I54,0)</f>
        <v>748</v>
      </c>
      <c r="L54" s="2">
        <f>IF(B59&lt;B55,0,1)</f>
        <v>0</v>
      </c>
      <c r="M54" s="2">
        <f>IF(B59&lt;B56,0,1)</f>
        <v>0</v>
      </c>
      <c r="N54" s="2">
        <f>IF(B59&lt;B57,0,1)</f>
        <v>0</v>
      </c>
      <c r="O54" s="2">
        <f>IF(B59&lt;B58,0,1)</f>
        <v>0</v>
      </c>
      <c r="P54" s="2"/>
      <c r="Q54" s="2">
        <f>IF(B59&lt;B58,0,1)</f>
        <v>0</v>
      </c>
      <c r="R54" s="11">
        <f>SUM(L54:Q54)</f>
        <v>0</v>
      </c>
      <c r="T54" s="9"/>
      <c r="U54" s="15" t="s">
        <v>30</v>
      </c>
      <c r="V54" s="10">
        <v>8</v>
      </c>
      <c r="W54" s="13"/>
      <c r="X54" s="2"/>
      <c r="Y54" s="2">
        <v>0</v>
      </c>
      <c r="Z54" s="14">
        <f>H54</f>
        <v>680</v>
      </c>
      <c r="AA54" s="2">
        <f>ROUNDDOWN(Z54*0.1,0)</f>
        <v>68</v>
      </c>
      <c r="AB54" s="2">
        <f>ROUNDDOWN(Z54+AA54,0)</f>
        <v>748</v>
      </c>
    </row>
    <row r="55" spans="2:36">
      <c r="B55" s="3">
        <v>9</v>
      </c>
      <c r="C55" s="16" t="s">
        <v>30</v>
      </c>
      <c r="D55" s="4">
        <v>20</v>
      </c>
      <c r="E55" s="14">
        <f>E46</f>
        <v>85</v>
      </c>
      <c r="F55" s="2">
        <f>(D54*E55-H54)*-1</f>
        <v>0</v>
      </c>
      <c r="G55" s="2">
        <v>1</v>
      </c>
      <c r="H55" s="2">
        <f>$B$59*E55+F55</f>
        <v>340</v>
      </c>
      <c r="I55" s="2">
        <f>ROUNDDOWN(H55*0.1,0)</f>
        <v>34</v>
      </c>
      <c r="J55" s="2">
        <f>ROUNDDOWN(H55+I55,0)</f>
        <v>374</v>
      </c>
      <c r="T55" s="3">
        <v>9</v>
      </c>
      <c r="U55" s="16" t="s">
        <v>30</v>
      </c>
      <c r="V55" s="4">
        <v>20</v>
      </c>
      <c r="W55" s="14">
        <f>E46</f>
        <v>85</v>
      </c>
      <c r="X55" s="2">
        <f>(V54*W55-Z54)*-1</f>
        <v>0</v>
      </c>
      <c r="Y55" s="2">
        <v>1</v>
      </c>
      <c r="Z55" s="2">
        <f>$T$59*W55+X55</f>
        <v>340</v>
      </c>
      <c r="AA55" s="2">
        <f>ROUNDDOWN(Z55*0.1,0)</f>
        <v>34</v>
      </c>
      <c r="AB55" s="2">
        <f>ROUNDDOWN(Z55+AA55,0)</f>
        <v>374</v>
      </c>
    </row>
    <row r="56" spans="2:36">
      <c r="B56" s="9">
        <v>21</v>
      </c>
      <c r="C56" s="15" t="s">
        <v>30</v>
      </c>
      <c r="D56" s="10">
        <v>30</v>
      </c>
      <c r="E56" s="14">
        <f>E47</f>
        <v>95</v>
      </c>
      <c r="F56" s="2">
        <f>D55*(E56-E55)*-1+F55</f>
        <v>-200</v>
      </c>
      <c r="G56" s="2">
        <v>2</v>
      </c>
      <c r="H56" s="2">
        <f>$B$59*E56+F56</f>
        <v>180</v>
      </c>
      <c r="I56" s="2">
        <f>ROUNDDOWN(H56*0.1,0)</f>
        <v>18</v>
      </c>
      <c r="J56" s="2">
        <f>ROUNDDOWN(H56+I56,0)</f>
        <v>198</v>
      </c>
      <c r="T56" s="9">
        <v>21</v>
      </c>
      <c r="U56" s="15" t="s">
        <v>30</v>
      </c>
      <c r="V56" s="10">
        <v>30</v>
      </c>
      <c r="W56" s="14">
        <f>E47</f>
        <v>95</v>
      </c>
      <c r="X56" s="2">
        <f>V55*(W56-W55)*-1+X55</f>
        <v>-200</v>
      </c>
      <c r="Y56" s="2">
        <v>2</v>
      </c>
      <c r="Z56" s="2">
        <f>$T$59*W56+X56</f>
        <v>180</v>
      </c>
      <c r="AA56" s="2">
        <f>ROUNDDOWN(Z56*0.1,0)</f>
        <v>18</v>
      </c>
      <c r="AB56" s="2">
        <f>ROUNDDOWN(Z56+AA56,0)</f>
        <v>198</v>
      </c>
    </row>
    <row r="57" spans="2:36">
      <c r="B57" s="9">
        <v>31</v>
      </c>
      <c r="C57" s="15" t="s">
        <v>30</v>
      </c>
      <c r="D57" s="19">
        <v>50</v>
      </c>
      <c r="E57" s="14">
        <f>E48</f>
        <v>140</v>
      </c>
      <c r="F57" s="2">
        <f>D56*(E57-E56)*-1+F56</f>
        <v>-1550</v>
      </c>
      <c r="G57" s="2">
        <v>3</v>
      </c>
      <c r="H57" s="2">
        <f>$B$59*E57+F57</f>
        <v>-990</v>
      </c>
      <c r="I57" s="2">
        <f>ROUNDDOWN(H57*0.1,0)</f>
        <v>-99</v>
      </c>
      <c r="J57" s="2">
        <f>ROUNDDOWN(H57+I57,0)</f>
        <v>-1089</v>
      </c>
      <c r="T57" s="9">
        <v>31</v>
      </c>
      <c r="U57" s="15" t="s">
        <v>30</v>
      </c>
      <c r="V57" s="19">
        <v>50</v>
      </c>
      <c r="W57" s="14">
        <f>E48</f>
        <v>140</v>
      </c>
      <c r="X57" s="2">
        <f>V56*(W57-W56)*-1+X56</f>
        <v>-1550</v>
      </c>
      <c r="Y57" s="2">
        <v>3</v>
      </c>
      <c r="Z57" s="2">
        <f>$T$59*W57+X57</f>
        <v>-990</v>
      </c>
      <c r="AA57" s="2">
        <f>ROUNDDOWN(Z57*0.1,0)</f>
        <v>-99</v>
      </c>
      <c r="AB57" s="2">
        <f>ROUNDDOWN(Z57+AA57,0)</f>
        <v>-1089</v>
      </c>
    </row>
    <row r="58" spans="2:36">
      <c r="B58" s="9">
        <v>51</v>
      </c>
      <c r="C58" s="15" t="s">
        <v>30</v>
      </c>
      <c r="D58" s="24"/>
      <c r="E58" s="14">
        <f>E49</f>
        <v>170</v>
      </c>
      <c r="F58" s="2">
        <f>D57*(E58-E57)*-1+F57</f>
        <v>-3050</v>
      </c>
      <c r="G58" s="10">
        <v>4</v>
      </c>
      <c r="H58" s="2">
        <f>$B$59*E58+F58</f>
        <v>-2370</v>
      </c>
      <c r="I58" s="2">
        <f>ROUNDDOWN(H58*0.1,0)</f>
        <v>-237</v>
      </c>
      <c r="J58" s="2">
        <f>ROUNDDOWN(H58+I58,0)</f>
        <v>-2607</v>
      </c>
      <c r="T58" s="9">
        <v>51</v>
      </c>
      <c r="U58" s="15" t="s">
        <v>30</v>
      </c>
      <c r="V58" s="24"/>
      <c r="W58" s="14">
        <f>E49</f>
        <v>170</v>
      </c>
      <c r="X58" s="2">
        <f>V57*(W58-W57)*-1+X57</f>
        <v>-3050</v>
      </c>
      <c r="Y58" s="10">
        <v>4</v>
      </c>
      <c r="Z58" s="2">
        <f>$T$59*W58+X58</f>
        <v>-2370</v>
      </c>
      <c r="AA58" s="2">
        <f>ROUNDDOWN(Z58*0.1,0)</f>
        <v>-237</v>
      </c>
      <c r="AB58" s="2">
        <f>ROUNDDOWN(Z58+AA58,0)</f>
        <v>-2607</v>
      </c>
    </row>
    <row r="59" spans="2:36">
      <c r="B59" s="20">
        <f>U46</f>
        <v>4</v>
      </c>
      <c r="D59" s="21">
        <f>R54</f>
        <v>0</v>
      </c>
      <c r="T59" s="20">
        <f>V46</f>
        <v>4</v>
      </c>
      <c r="V59" s="21">
        <f>AJ53</f>
        <v>0</v>
      </c>
    </row>
    <row r="62" spans="2:36">
      <c r="B62" t="s">
        <v>11</v>
      </c>
      <c r="E62" s="45" t="s">
        <v>2</v>
      </c>
      <c r="F62" s="2"/>
      <c r="G62" s="2"/>
      <c r="H62" s="45" t="s">
        <v>1</v>
      </c>
      <c r="I62" s="45" t="s">
        <v>4</v>
      </c>
      <c r="J62" s="45" t="s">
        <v>5</v>
      </c>
    </row>
    <row r="63" spans="2:36">
      <c r="B63" s="9"/>
      <c r="C63" s="15" t="s">
        <v>30</v>
      </c>
      <c r="D63" s="10">
        <v>8</v>
      </c>
      <c r="E63" s="13"/>
      <c r="F63" s="2"/>
      <c r="G63" s="2">
        <v>0</v>
      </c>
      <c r="H63" s="14">
        <v>2200</v>
      </c>
      <c r="I63" s="2">
        <f>ROUNDDOWN(H63*0.1,0)</f>
        <v>220</v>
      </c>
      <c r="J63" s="2">
        <f>ROUNDDOWN(H63+I63,0)</f>
        <v>2420</v>
      </c>
      <c r="L63" s="2">
        <f>IF(B68&lt;B64,0,1)</f>
        <v>0</v>
      </c>
      <c r="M63" s="2"/>
      <c r="N63" s="2"/>
      <c r="O63" s="2"/>
      <c r="P63" s="2"/>
      <c r="Q63" s="2"/>
      <c r="R63" s="11">
        <f>SUM(L63:Q63)</f>
        <v>0</v>
      </c>
      <c r="T63" s="86">
        <f>新水道料金計算!C21</f>
        <v>8</v>
      </c>
      <c r="U63" s="2">
        <f>T63/2</f>
        <v>4</v>
      </c>
      <c r="V63" s="2">
        <f>T63/2</f>
        <v>4</v>
      </c>
    </row>
    <row r="64" spans="2:36">
      <c r="B64" s="3">
        <v>9</v>
      </c>
      <c r="C64" s="16" t="s">
        <v>32</v>
      </c>
      <c r="D64" s="4"/>
      <c r="E64" s="14">
        <v>415</v>
      </c>
      <c r="F64" s="2">
        <f>(D63*E64-H63)*-1</f>
        <v>-1120</v>
      </c>
      <c r="G64" s="2">
        <v>1</v>
      </c>
      <c r="H64" s="2">
        <f>$B$68*E64+F64</f>
        <v>2200</v>
      </c>
      <c r="I64" s="2">
        <f>ROUNDDOWN(H64*0.1,0)</f>
        <v>220</v>
      </c>
      <c r="J64" s="2">
        <f>ROUNDDOWN(H64+I64,0)</f>
        <v>2420</v>
      </c>
      <c r="T64" s="79"/>
      <c r="U64" s="23">
        <f>ROUNDUP(U63,0)</f>
        <v>4</v>
      </c>
      <c r="V64" s="23">
        <f>ROUNDDOWN(V63,0)</f>
        <v>4</v>
      </c>
    </row>
    <row r="65" spans="2:36">
      <c r="B65" s="9"/>
      <c r="C65" s="15" t="s">
        <v>32</v>
      </c>
      <c r="D65" s="10"/>
      <c r="E65" s="14"/>
      <c r="F65" s="2">
        <f>D64*(E65-E64)*-1+F64</f>
        <v>-1120</v>
      </c>
      <c r="G65" s="2">
        <v>2</v>
      </c>
      <c r="H65" s="2">
        <f>$B$68*E65+F65</f>
        <v>-1120</v>
      </c>
      <c r="I65" s="2">
        <f>ROUNDDOWN(H65*0.1,0)</f>
        <v>-112</v>
      </c>
      <c r="J65" s="2">
        <f>ROUNDDOWN(H65+I65,0)</f>
        <v>-1232</v>
      </c>
    </row>
    <row r="66" spans="2:36">
      <c r="B66" s="9"/>
      <c r="C66" s="15" t="s">
        <v>31</v>
      </c>
      <c r="D66" s="19"/>
      <c r="E66" s="14"/>
      <c r="F66" s="2">
        <f>D65*(E66-E65)*-1+F65</f>
        <v>-1120</v>
      </c>
      <c r="G66" s="2">
        <v>3</v>
      </c>
      <c r="H66" s="2">
        <f>$B$68*E66+F66</f>
        <v>-1120</v>
      </c>
      <c r="I66" s="2">
        <f>ROUNDDOWN(H66*0.1,0)</f>
        <v>-112</v>
      </c>
      <c r="J66" s="2">
        <f>ROUNDDOWN(H66+I66,0)</f>
        <v>-1232</v>
      </c>
      <c r="U66" s="80">
        <f>LOOKUP(D77,G72:G76,H72:H76)</f>
        <v>2200</v>
      </c>
      <c r="V66" s="81"/>
      <c r="W66" s="80">
        <f>LOOKUP(D77,G72:G76,J72:J76)</f>
        <v>2420</v>
      </c>
      <c r="X66" s="81"/>
    </row>
    <row r="67" spans="2:36">
      <c r="B67" s="9"/>
      <c r="C67" s="15" t="s">
        <v>31</v>
      </c>
      <c r="D67" s="24"/>
      <c r="E67" s="14"/>
      <c r="F67" s="2">
        <f>D66*(E67-E66)*-1+F66</f>
        <v>-1120</v>
      </c>
      <c r="G67" s="10">
        <v>4</v>
      </c>
      <c r="H67" s="2">
        <f>$B$68*E67+F67</f>
        <v>-1120</v>
      </c>
      <c r="I67" s="2">
        <f>ROUNDDOWN(H67*0.1,0)</f>
        <v>-112</v>
      </c>
      <c r="J67" s="2">
        <f>ROUNDDOWN(H67+I67,0)</f>
        <v>-1232</v>
      </c>
      <c r="U67" s="80">
        <f>LOOKUP(V77,Y72:Y76,Z72:Z76)</f>
        <v>2200</v>
      </c>
      <c r="V67" s="81"/>
      <c r="W67" s="80">
        <f>LOOKUP(V77,Y72:Y76,AB72:AB76)</f>
        <v>2420</v>
      </c>
      <c r="X67" s="81"/>
    </row>
    <row r="68" spans="2:36">
      <c r="B68" s="46">
        <f>新水道料金計算!J21</f>
        <v>8</v>
      </c>
      <c r="D68" s="21">
        <f>R63</f>
        <v>0</v>
      </c>
    </row>
    <row r="71" spans="2:36">
      <c r="B71" t="s">
        <v>11</v>
      </c>
      <c r="E71" s="45" t="s">
        <v>2</v>
      </c>
      <c r="F71" s="2"/>
      <c r="G71" s="2"/>
      <c r="H71" s="45" t="s">
        <v>1</v>
      </c>
      <c r="I71" s="45" t="s">
        <v>4</v>
      </c>
      <c r="J71" s="45" t="s">
        <v>5</v>
      </c>
      <c r="T71" t="s">
        <v>11</v>
      </c>
      <c r="W71" s="45" t="s">
        <v>2</v>
      </c>
      <c r="X71" s="2"/>
      <c r="Y71" s="2"/>
      <c r="Z71" s="45" t="s">
        <v>1</v>
      </c>
      <c r="AA71" s="45" t="s">
        <v>4</v>
      </c>
      <c r="AB71" s="45" t="s">
        <v>5</v>
      </c>
    </row>
    <row r="72" spans="2:36">
      <c r="B72" s="9"/>
      <c r="C72" s="15" t="s">
        <v>30</v>
      </c>
      <c r="D72" s="10">
        <v>8</v>
      </c>
      <c r="E72" s="13"/>
      <c r="F72" s="2"/>
      <c r="G72" s="2">
        <v>0</v>
      </c>
      <c r="H72" s="14">
        <v>2200</v>
      </c>
      <c r="I72" s="2">
        <f>ROUNDDOWN(H72*0.1,0)</f>
        <v>220</v>
      </c>
      <c r="J72" s="2">
        <f>ROUNDDOWN(H72+I72,0)</f>
        <v>2420</v>
      </c>
      <c r="L72" s="2">
        <f>IF(B77&lt;B73,0,1)</f>
        <v>0</v>
      </c>
      <c r="M72" s="2"/>
      <c r="N72" s="2"/>
      <c r="O72" s="2"/>
      <c r="P72" s="2"/>
      <c r="Q72" s="2"/>
      <c r="R72" s="11">
        <f>SUM(L72:Q72)</f>
        <v>0</v>
      </c>
      <c r="T72" s="9"/>
      <c r="U72" s="15" t="s">
        <v>30</v>
      </c>
      <c r="V72" s="10">
        <v>8</v>
      </c>
      <c r="W72" s="13"/>
      <c r="X72" s="2"/>
      <c r="Y72" s="2">
        <v>0</v>
      </c>
      <c r="Z72" s="14">
        <v>2200</v>
      </c>
      <c r="AA72" s="2">
        <f>ROUNDDOWN(Z72*0.1,0)</f>
        <v>220</v>
      </c>
      <c r="AB72" s="2">
        <f>ROUNDDOWN(Z72+AA72,0)</f>
        <v>2420</v>
      </c>
      <c r="AD72" s="2">
        <f>IF(T77&lt;T73,0,1)</f>
        <v>0</v>
      </c>
      <c r="AE72" s="2"/>
      <c r="AF72" s="2"/>
      <c r="AG72" s="2"/>
      <c r="AH72" s="2"/>
      <c r="AI72" s="2"/>
      <c r="AJ72" s="11">
        <f>SUM(AD72:AI72)</f>
        <v>0</v>
      </c>
    </row>
    <row r="73" spans="2:36">
      <c r="B73" s="3">
        <v>9</v>
      </c>
      <c r="C73" s="16" t="s">
        <v>30</v>
      </c>
      <c r="D73" s="4"/>
      <c r="E73" s="14">
        <v>415</v>
      </c>
      <c r="F73" s="2">
        <f>(D72*E73-H72)*-1</f>
        <v>-1120</v>
      </c>
      <c r="G73" s="2">
        <v>1</v>
      </c>
      <c r="H73" s="2">
        <f>$B$77*E73+F73</f>
        <v>540</v>
      </c>
      <c r="I73" s="2">
        <f>ROUNDDOWN(H73*0.1,0)</f>
        <v>54</v>
      </c>
      <c r="J73" s="2">
        <f>ROUNDDOWN(H73+I73,0)</f>
        <v>594</v>
      </c>
      <c r="T73" s="3">
        <v>9</v>
      </c>
      <c r="U73" s="16" t="s">
        <v>30</v>
      </c>
      <c r="V73" s="4"/>
      <c r="W73" s="14">
        <v>415</v>
      </c>
      <c r="X73" s="2">
        <f>(V72*W73-Z72)*-1</f>
        <v>-1120</v>
      </c>
      <c r="Y73" s="2">
        <v>1</v>
      </c>
      <c r="Z73" s="2">
        <f>$T$77*W73+X73</f>
        <v>540</v>
      </c>
      <c r="AA73" s="2">
        <f>ROUNDDOWN(Z73*0.1,0)</f>
        <v>54</v>
      </c>
      <c r="AB73" s="2">
        <f>ROUNDDOWN(Z73+AA73,0)</f>
        <v>594</v>
      </c>
    </row>
    <row r="74" spans="2:36">
      <c r="B74" s="9"/>
      <c r="C74" s="15" t="s">
        <v>30</v>
      </c>
      <c r="D74" s="10"/>
      <c r="E74" s="14"/>
      <c r="F74" s="2">
        <f>D73*(E74-E73)*-1+F73</f>
        <v>-1120</v>
      </c>
      <c r="G74" s="2">
        <v>2</v>
      </c>
      <c r="H74" s="2">
        <f>$B$77*E74+F74</f>
        <v>-1120</v>
      </c>
      <c r="I74" s="2">
        <f>ROUNDDOWN(H74*0.1,0)</f>
        <v>-112</v>
      </c>
      <c r="J74" s="2">
        <f>ROUNDDOWN(H74+I74,0)</f>
        <v>-1232</v>
      </c>
      <c r="T74" s="9"/>
      <c r="U74" s="15" t="s">
        <v>30</v>
      </c>
      <c r="V74" s="10"/>
      <c r="W74" s="14"/>
      <c r="X74" s="2">
        <f>V73*(W74-W73)*-1+X73</f>
        <v>-1120</v>
      </c>
      <c r="Y74" s="2">
        <v>2</v>
      </c>
      <c r="Z74" s="2">
        <f>$T$77*W74+X74</f>
        <v>-1120</v>
      </c>
      <c r="AA74" s="2">
        <f>ROUNDDOWN(Z74*0.1,0)</f>
        <v>-112</v>
      </c>
      <c r="AB74" s="2">
        <f>ROUNDDOWN(Z74+AA74,0)</f>
        <v>-1232</v>
      </c>
    </row>
    <row r="75" spans="2:36">
      <c r="B75" s="9"/>
      <c r="C75" s="15" t="s">
        <v>30</v>
      </c>
      <c r="D75" s="19"/>
      <c r="E75" s="14"/>
      <c r="F75" s="2">
        <f>D74*(E75-E74)*-1+F74</f>
        <v>-1120</v>
      </c>
      <c r="G75" s="2">
        <v>3</v>
      </c>
      <c r="H75" s="2">
        <f>$B$77*E75+F75</f>
        <v>-1120</v>
      </c>
      <c r="I75" s="2">
        <f>ROUNDDOWN(H75*0.1,0)</f>
        <v>-112</v>
      </c>
      <c r="J75" s="2">
        <f>ROUNDDOWN(H75+I75,0)</f>
        <v>-1232</v>
      </c>
      <c r="T75" s="9"/>
      <c r="U75" s="15" t="s">
        <v>29</v>
      </c>
      <c r="V75" s="19"/>
      <c r="W75" s="14"/>
      <c r="X75" s="2">
        <f>V74*(W75-W74)*-1+X74</f>
        <v>-1120</v>
      </c>
      <c r="Y75" s="2">
        <v>3</v>
      </c>
      <c r="Z75" s="2">
        <f>$T$77*W75+X75</f>
        <v>-1120</v>
      </c>
      <c r="AA75" s="2">
        <f>ROUNDDOWN(Z75*0.1,0)</f>
        <v>-112</v>
      </c>
      <c r="AB75" s="2">
        <f>ROUNDDOWN(Z75+AA75,0)</f>
        <v>-1232</v>
      </c>
    </row>
    <row r="76" spans="2:36">
      <c r="B76" s="9"/>
      <c r="C76" s="15" t="s">
        <v>29</v>
      </c>
      <c r="D76" s="24"/>
      <c r="E76" s="14"/>
      <c r="F76" s="2">
        <f>D75*(E76-E75)*-1+F75</f>
        <v>-1120</v>
      </c>
      <c r="G76" s="10">
        <v>4</v>
      </c>
      <c r="H76" s="2">
        <f>$B$77*E76+F76</f>
        <v>-1120</v>
      </c>
      <c r="I76" s="2">
        <f>ROUNDDOWN(H76*0.1,0)</f>
        <v>-112</v>
      </c>
      <c r="J76" s="2">
        <f>ROUNDDOWN(H76+I76,0)</f>
        <v>-1232</v>
      </c>
      <c r="T76" s="9"/>
      <c r="U76" s="15" t="s">
        <v>29</v>
      </c>
      <c r="V76" s="24"/>
      <c r="W76" s="14"/>
      <c r="X76" s="2">
        <f>V75*(W76-W75)*-1+X75</f>
        <v>-1120</v>
      </c>
      <c r="Y76" s="10">
        <v>4</v>
      </c>
      <c r="Z76" s="2">
        <f>$T$77*W76+X76</f>
        <v>-1120</v>
      </c>
      <c r="AA76" s="2">
        <f>ROUNDDOWN(Z76*0.1,0)</f>
        <v>-112</v>
      </c>
      <c r="AB76" s="2">
        <f>ROUNDDOWN(Z76+AA76,0)</f>
        <v>-1232</v>
      </c>
    </row>
    <row r="77" spans="2:36">
      <c r="B77" s="20">
        <f>U64</f>
        <v>4</v>
      </c>
      <c r="D77" s="21">
        <f>R72</f>
        <v>0</v>
      </c>
      <c r="T77" s="20">
        <f>V64</f>
        <v>4</v>
      </c>
      <c r="V77" s="21">
        <f>AJ72</f>
        <v>0</v>
      </c>
    </row>
  </sheetData>
  <mergeCells count="30">
    <mergeCell ref="T45:T46"/>
    <mergeCell ref="U48:V48"/>
    <mergeCell ref="W48:X48"/>
    <mergeCell ref="U49:V49"/>
    <mergeCell ref="W49:X49"/>
    <mergeCell ref="T25:T26"/>
    <mergeCell ref="U28:V28"/>
    <mergeCell ref="W28:X28"/>
    <mergeCell ref="U29:V29"/>
    <mergeCell ref="W29:X29"/>
    <mergeCell ref="T63:T64"/>
    <mergeCell ref="U66:V66"/>
    <mergeCell ref="W66:X66"/>
    <mergeCell ref="U67:V67"/>
    <mergeCell ref="W67:X67"/>
    <mergeCell ref="T3:T4"/>
    <mergeCell ref="U6:V6"/>
    <mergeCell ref="U7:V7"/>
    <mergeCell ref="W6:X6"/>
    <mergeCell ref="W7:X7"/>
    <mergeCell ref="AA10:AB10"/>
    <mergeCell ref="AA11:AB11"/>
    <mergeCell ref="AA9:AB9"/>
    <mergeCell ref="AA2:AB2"/>
    <mergeCell ref="AA4:AB4"/>
    <mergeCell ref="AA5:AB5"/>
    <mergeCell ref="AA6:AB6"/>
    <mergeCell ref="AA7:AB7"/>
    <mergeCell ref="AA8:AB8"/>
    <mergeCell ref="AA3:AB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新水道料金計算</vt:lpstr>
      <vt:lpstr>（減額後）新水道計算式</vt:lpstr>
      <vt:lpstr>（減額前）新水道計算式</vt:lpstr>
    </vt:vector>
  </TitlesOfParts>
  <Company>秦野市役所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秦野市</dc:creator>
  <cp:lastModifiedBy>黒崎 綾</cp:lastModifiedBy>
  <cp:lastPrinted>2022-09-16T05:21:01Z</cp:lastPrinted>
  <dcterms:created xsi:type="dcterms:W3CDTF">2004-08-10T04:33:33Z</dcterms:created>
  <dcterms:modified xsi:type="dcterms:W3CDTF">2022-09-16T06:16:43Z</dcterms:modified>
</cp:coreProperties>
</file>