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5010財政課\08　公会計（財務諸表）\13　財務書類作成\31年度（30年度決算）\00 納品データ修正版（公表はこちらの資料で行う）\07 HP公表用\付属明細（一般）\"/>
    </mc:Choice>
  </mc:AlternateContent>
  <bookViews>
    <workbookView xWindow="28680" yWindow="855" windowWidth="19440" windowHeight="15600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利率別）の明細" sheetId="9" r:id="rId9"/>
    <sheet name="地方債等（返済期間別）の明細" sheetId="10" r:id="rId10"/>
    <sheet name="特定の契約条項が付された地方債等の概要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Print_Titles" localSheetId="1">有形固定資産に係る行政目的別の明細!$1:$3</definedName>
    <definedName name="_xlnm.Print_Titles" localSheetId="0">有形固定資産の明細!$1:$8</definedName>
  </definedNames>
  <calcPr calcId="152511"/>
</workbook>
</file>

<file path=xl/calcChain.xml><?xml version="1.0" encoding="utf-8"?>
<calcChain xmlns="http://schemas.openxmlformats.org/spreadsheetml/2006/main">
  <c r="F10" i="15" l="1"/>
  <c r="B10" i="15"/>
  <c r="E8" i="15"/>
  <c r="E7" i="15"/>
  <c r="D6" i="15"/>
  <c r="C6" i="15"/>
  <c r="E6" i="15" s="1"/>
  <c r="E10" i="15" s="1"/>
  <c r="E15" i="14" l="1"/>
  <c r="E12" i="14"/>
  <c r="E16" i="14" s="1"/>
  <c r="E17" i="14" s="1"/>
  <c r="E8" i="14"/>
  <c r="D12" i="13" l="1"/>
  <c r="D11" i="13"/>
  <c r="D7" i="13"/>
  <c r="F9" i="12" l="1"/>
  <c r="E9" i="12"/>
  <c r="D9" i="12"/>
  <c r="B9" i="12"/>
  <c r="C8" i="12"/>
  <c r="C9" i="12" s="1"/>
  <c r="C5" i="12"/>
  <c r="J4" i="10" l="1"/>
  <c r="A4" i="9" l="1"/>
  <c r="I4" i="9" s="1"/>
  <c r="K16" i="8" l="1"/>
  <c r="B16" i="8" s="1"/>
  <c r="B14" i="8"/>
  <c r="B13" i="8"/>
  <c r="K12" i="8"/>
  <c r="E12" i="8"/>
  <c r="D12" i="8"/>
  <c r="C12" i="8"/>
  <c r="B12" i="8"/>
  <c r="K11" i="8"/>
  <c r="C11" i="8"/>
  <c r="B11" i="8"/>
  <c r="K10" i="8"/>
  <c r="B10" i="8" s="1"/>
  <c r="K9" i="8"/>
  <c r="B9" i="8" s="1"/>
  <c r="B7" i="8"/>
  <c r="K6" i="8"/>
  <c r="B6" i="8"/>
  <c r="G5" i="8"/>
  <c r="G17" i="8" s="1"/>
  <c r="F5" i="8"/>
  <c r="F17" i="8" s="1"/>
  <c r="E5" i="8"/>
  <c r="D5" i="8"/>
  <c r="D17" i="8" s="1"/>
  <c r="C5" i="8"/>
  <c r="C17" i="8" s="1"/>
  <c r="E17" i="8" l="1"/>
  <c r="K5" i="8"/>
  <c r="K17" i="8" s="1"/>
  <c r="B5" i="8" l="1"/>
  <c r="B17" i="8" s="1"/>
  <c r="C17" i="7" l="1"/>
  <c r="C18" i="7" s="1"/>
  <c r="B17" i="7"/>
  <c r="B7" i="7"/>
  <c r="B18" i="7" s="1"/>
  <c r="C18" i="6" l="1"/>
  <c r="C19" i="6" s="1"/>
  <c r="B18" i="6"/>
  <c r="B7" i="6"/>
  <c r="B19" i="6" s="1"/>
  <c r="F7" i="5" l="1"/>
  <c r="E7" i="5"/>
  <c r="D7" i="5"/>
  <c r="C7" i="5"/>
  <c r="B7" i="5"/>
  <c r="G15" i="4" l="1"/>
  <c r="D15" i="4"/>
  <c r="C15" i="4"/>
  <c r="B15" i="4"/>
  <c r="F15" i="4" s="1"/>
  <c r="F14" i="4"/>
  <c r="F13" i="4"/>
  <c r="F12" i="4"/>
  <c r="F11" i="4"/>
  <c r="F10" i="4"/>
  <c r="F9" i="4"/>
  <c r="F8" i="4"/>
  <c r="F7" i="4"/>
  <c r="F6" i="4"/>
  <c r="F5" i="4"/>
  <c r="F4" i="4"/>
  <c r="K29" i="3" l="1"/>
  <c r="J29" i="3"/>
  <c r="D29" i="3"/>
  <c r="C29" i="3"/>
  <c r="B29" i="3"/>
  <c r="G28" i="3"/>
  <c r="E28" i="3"/>
  <c r="H28" i="3" s="1"/>
  <c r="G27" i="3"/>
  <c r="E27" i="3"/>
  <c r="H27" i="3" s="1"/>
  <c r="E26" i="3"/>
  <c r="E25" i="3"/>
  <c r="E24" i="3"/>
  <c r="E23" i="3"/>
  <c r="E22" i="3"/>
  <c r="E21" i="3"/>
  <c r="E20" i="3"/>
  <c r="E19" i="3"/>
  <c r="E18" i="3"/>
  <c r="E17" i="3"/>
  <c r="E16" i="3"/>
  <c r="E29" i="3" s="1"/>
  <c r="J12" i="3"/>
  <c r="I12" i="3"/>
  <c r="F12" i="3"/>
  <c r="D12" i="3"/>
  <c r="C12" i="3"/>
  <c r="B12" i="3"/>
  <c r="G11" i="3"/>
  <c r="E11" i="3"/>
  <c r="H11" i="3" s="1"/>
  <c r="G10" i="3"/>
  <c r="E10" i="3"/>
  <c r="H10" i="3" s="1"/>
  <c r="G9" i="3"/>
  <c r="E9" i="3"/>
  <c r="E12" i="3" s="1"/>
  <c r="H22" i="3" l="1"/>
  <c r="H9" i="3"/>
  <c r="H12" i="3" s="1"/>
  <c r="F16" i="3"/>
  <c r="F17" i="3"/>
  <c r="G17" i="3" s="1"/>
  <c r="H17" i="3" s="1"/>
  <c r="F18" i="3"/>
  <c r="G18" i="3" s="1"/>
  <c r="H18" i="3" s="1"/>
  <c r="F19" i="3"/>
  <c r="G19" i="3" s="1"/>
  <c r="H19" i="3" s="1"/>
  <c r="F20" i="3"/>
  <c r="G20" i="3" s="1"/>
  <c r="H20" i="3" s="1"/>
  <c r="F21" i="3"/>
  <c r="G21" i="3" s="1"/>
  <c r="H21" i="3" s="1"/>
  <c r="F22" i="3"/>
  <c r="G22" i="3" s="1"/>
  <c r="F23" i="3"/>
  <c r="G23" i="3" s="1"/>
  <c r="H23" i="3" s="1"/>
  <c r="F24" i="3"/>
  <c r="G24" i="3" s="1"/>
  <c r="H24" i="3" s="1"/>
  <c r="F25" i="3"/>
  <c r="G25" i="3" s="1"/>
  <c r="H25" i="3" s="1"/>
  <c r="F26" i="3"/>
  <c r="G26" i="3" s="1"/>
  <c r="H26" i="3" s="1"/>
  <c r="F29" i="3" l="1"/>
  <c r="G16" i="3"/>
  <c r="H16" i="3" s="1"/>
  <c r="H29" i="3" s="1"/>
  <c r="H21" i="2" l="1"/>
  <c r="H20" i="2"/>
  <c r="G20" i="2"/>
  <c r="F20" i="2"/>
  <c r="E20" i="2"/>
  <c r="D20" i="2"/>
  <c r="C20" i="2"/>
  <c r="B20" i="2"/>
  <c r="I20" i="2" s="1"/>
  <c r="I19" i="2"/>
  <c r="I17" i="2"/>
  <c r="I16" i="2"/>
  <c r="I15" i="2"/>
  <c r="H14" i="2"/>
  <c r="F14" i="2"/>
  <c r="C14" i="2"/>
  <c r="B14" i="2"/>
  <c r="I14" i="2" s="1"/>
  <c r="I13" i="2"/>
  <c r="H8" i="2"/>
  <c r="G8" i="2"/>
  <c r="F8" i="2"/>
  <c r="E8" i="2"/>
  <c r="D8" i="2"/>
  <c r="C8" i="2"/>
  <c r="B8" i="2"/>
  <c r="I8" i="2" s="1"/>
  <c r="H7" i="2"/>
  <c r="G7" i="2"/>
  <c r="F7" i="2"/>
  <c r="E7" i="2"/>
  <c r="D7" i="2"/>
  <c r="C7" i="2"/>
  <c r="B7" i="2"/>
  <c r="I7" i="2" s="1"/>
  <c r="H5" i="2"/>
  <c r="G5" i="2"/>
  <c r="F5" i="2"/>
  <c r="E5" i="2"/>
  <c r="D5" i="2"/>
  <c r="C5" i="2"/>
  <c r="B5" i="2"/>
  <c r="I5" i="2" s="1"/>
  <c r="H4" i="2"/>
  <c r="G4" i="2"/>
  <c r="G21" i="2" s="1"/>
  <c r="F4" i="2"/>
  <c r="F21" i="2" s="1"/>
  <c r="E4" i="2"/>
  <c r="E21" i="2" s="1"/>
  <c r="D4" i="2"/>
  <c r="D21" i="2" s="1"/>
  <c r="C4" i="2"/>
  <c r="C21" i="2" s="1"/>
  <c r="B4" i="2"/>
  <c r="I4" i="2" s="1"/>
  <c r="B21" i="2" l="1"/>
  <c r="I21" i="2" s="1"/>
  <c r="G23" i="1" l="1"/>
  <c r="F23" i="1"/>
  <c r="D23" i="1"/>
  <c r="C23" i="1"/>
  <c r="B23" i="1"/>
  <c r="G9" i="1"/>
  <c r="F9" i="1"/>
  <c r="D9" i="1"/>
  <c r="C9" i="1"/>
  <c r="B9" i="1"/>
  <c r="E30" i="1"/>
  <c r="H30" i="1" s="1"/>
  <c r="H29" i="1"/>
  <c r="E28" i="1"/>
  <c r="H28" i="1" s="1"/>
  <c r="E27" i="1"/>
  <c r="H27" i="1" s="1"/>
  <c r="E25" i="1"/>
  <c r="H25" i="1" s="1"/>
  <c r="E26" i="1"/>
  <c r="H26" i="1" s="1"/>
  <c r="E31" i="1"/>
  <c r="H31" i="1" s="1"/>
  <c r="E22" i="1"/>
  <c r="H22" i="1" s="1"/>
  <c r="E13" i="1"/>
  <c r="H13" i="1" s="1"/>
  <c r="E12" i="1"/>
  <c r="H12" i="1" s="1"/>
  <c r="E10" i="1"/>
  <c r="H10" i="1" s="1"/>
  <c r="G32" i="1" l="1"/>
  <c r="D32" i="1"/>
  <c r="C32" i="1"/>
  <c r="E23" i="1"/>
  <c r="H23" i="1" s="1"/>
  <c r="B32" i="1"/>
  <c r="F32" i="1"/>
  <c r="E32" i="1"/>
  <c r="E9" i="1"/>
  <c r="H9" i="1" s="1"/>
  <c r="H32" i="1" l="1"/>
</calcChain>
</file>

<file path=xl/comments1.xml><?xml version="1.0" encoding="utf-8"?>
<comments xmlns="http://schemas.openxmlformats.org/spreadsheetml/2006/main">
  <authors>
    <author>酒井 健司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翌年度予算償還利子/地方債残高</t>
        </r>
      </text>
    </comment>
  </commentList>
</comments>
</file>

<file path=xl/sharedStrings.xml><?xml version="1.0" encoding="utf-8"?>
<sst xmlns="http://schemas.openxmlformats.org/spreadsheetml/2006/main" count="339" uniqueCount="240">
  <si>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</si>
  <si>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</si>
  <si>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</si>
  <si>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</si>
  <si>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</si>
  <si>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</si>
  <si>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</si>
  <si>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</si>
  <si>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</si>
  <si>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【様式第５号】</t>
    <rPh sb="1" eb="3">
      <t>ヨウシキ</t>
    </rPh>
    <rPh sb="3" eb="4">
      <t>ダイ</t>
    </rPh>
    <rPh sb="5" eb="6">
      <t>ゴウ</t>
    </rPh>
    <phoneticPr fontId="5"/>
  </si>
  <si>
    <t>附属明細書</t>
    <rPh sb="0" eb="2">
      <t>フゾク</t>
    </rPh>
    <rPh sb="2" eb="5">
      <t>メイサイショ</t>
    </rPh>
    <phoneticPr fontId="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</si>
  <si>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</si>
  <si>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5"/>
  </si>
  <si>
    <t>（１）資産項目の明細</t>
    <rPh sb="3" eb="5">
      <t>シサン</t>
    </rPh>
    <rPh sb="5" eb="7">
      <t>コウモク</t>
    </rPh>
    <rPh sb="8" eb="10">
      <t>メイサイ</t>
    </rPh>
    <phoneticPr fontId="5"/>
  </si>
  <si>
    <t xml:space="preserve"> ①有形固定資産の明細</t>
    <phoneticPr fontId="4"/>
  </si>
  <si>
    <t xml:space="preserve"> 事業用資産</t>
    <phoneticPr fontId="4"/>
  </si>
  <si>
    <t>　  土地</t>
    <phoneticPr fontId="4"/>
  </si>
  <si>
    <t>　　立木竹</t>
    <phoneticPr fontId="4"/>
  </si>
  <si>
    <t>　　建物</t>
    <phoneticPr fontId="4"/>
  </si>
  <si>
    <t>　　工作物</t>
    <phoneticPr fontId="4"/>
  </si>
  <si>
    <t>　　船舶</t>
    <phoneticPr fontId="4"/>
  </si>
  <si>
    <t>　　浮標等</t>
    <phoneticPr fontId="4"/>
  </si>
  <si>
    <t>　　航空機</t>
    <phoneticPr fontId="4"/>
  </si>
  <si>
    <t>　　その他</t>
    <phoneticPr fontId="4"/>
  </si>
  <si>
    <t>　　建設仮勘定</t>
    <phoneticPr fontId="4"/>
  </si>
  <si>
    <t xml:space="preserve"> インフラ資産</t>
    <phoneticPr fontId="4"/>
  </si>
  <si>
    <t>　　土地</t>
    <phoneticPr fontId="4"/>
  </si>
  <si>
    <t>　　その他</t>
    <phoneticPr fontId="4"/>
  </si>
  <si>
    <t>　　建設仮勘定</t>
    <phoneticPr fontId="4"/>
  </si>
  <si>
    <t xml:space="preserve"> 物品</t>
    <phoneticPr fontId="4"/>
  </si>
  <si>
    <t>合計</t>
    <phoneticPr fontId="4"/>
  </si>
  <si>
    <t>②有形固定資産の行政目的別明細</t>
    <phoneticPr fontId="4"/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</si>
  <si>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</si>
  <si>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</si>
  <si>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</si>
  <si>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</si>
  <si>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</si>
  <si>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</si>
  <si>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</si>
  <si>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合計</t>
  </si>
  <si>
    <t xml:space="preserve"> 事業用資産</t>
    <phoneticPr fontId="4"/>
  </si>
  <si>
    <t>　　工作物</t>
    <phoneticPr fontId="4"/>
  </si>
  <si>
    <t>　　船舶</t>
    <phoneticPr fontId="4"/>
  </si>
  <si>
    <t>　　浮標等</t>
    <phoneticPr fontId="4"/>
  </si>
  <si>
    <t>　　その他</t>
    <phoneticPr fontId="4"/>
  </si>
  <si>
    <t>　　土地</t>
    <phoneticPr fontId="4"/>
  </si>
  <si>
    <t>　　工作物</t>
    <phoneticPr fontId="4"/>
  </si>
  <si>
    <t>合計</t>
    <phoneticPr fontId="4"/>
  </si>
  <si>
    <t>③投資及び出資金の明細</t>
    <phoneticPr fontId="5"/>
  </si>
  <si>
    <t>市場価格のあるもの</t>
  </si>
  <si>
    <t>(単位：円)</t>
    <rPh sb="4" eb="5">
      <t>エン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</si>
  <si>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</si>
  <si>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</si>
  <si>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</si>
  <si>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</si>
  <si>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</si>
  <si>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</si>
  <si>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</si>
  <si>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</si>
  <si>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保有なし</t>
    <rPh sb="0" eb="2">
      <t>ホユウ</t>
    </rPh>
    <phoneticPr fontId="4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</si>
  <si>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</si>
  <si>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</si>
  <si>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</si>
  <si>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</si>
  <si>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</si>
  <si>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</si>
  <si>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</si>
  <si>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</si>
  <si>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</si>
  <si>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</si>
  <si>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一般財団法人秦野市学校保全公社</t>
  </si>
  <si>
    <t>秦野市土地開発公社</t>
  </si>
  <si>
    <t>公益財団法人秦野市スポーツ協会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</si>
  <si>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</si>
  <si>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</si>
  <si>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</si>
  <si>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</si>
  <si>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秦野市森林組合</t>
  </si>
  <si>
    <t>公益社団法人神奈川県農業公社</t>
  </si>
  <si>
    <t>神奈川県農業信用基金協会</t>
  </si>
  <si>
    <t>神奈川県信用保証協会</t>
  </si>
  <si>
    <t>一般社団法人神奈川県果実協会</t>
  </si>
  <si>
    <t>公益財団法人かながわ国際交流財団</t>
  </si>
  <si>
    <t>一般社団法人神奈川県畜産会</t>
  </si>
  <si>
    <t>公益財団法人リバーフロント研究所</t>
  </si>
  <si>
    <t>公益財団法人かながわ健康財団</t>
  </si>
  <si>
    <t>一般社団法人砂防フロンティア整備推進機構</t>
    <phoneticPr fontId="14"/>
  </si>
  <si>
    <t>公益財団法人神奈川県暴力追放推進センター</t>
    <phoneticPr fontId="14"/>
  </si>
  <si>
    <t>地方公共団体金融機構</t>
  </si>
  <si>
    <t>(株）テレビ神奈川</t>
  </si>
  <si>
    <t>④基金の明細</t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</si>
  <si>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</si>
  <si>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</si>
  <si>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</si>
  <si>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</si>
  <si>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</si>
  <si>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</si>
  <si>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</si>
  <si>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</si>
  <si>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14"/>
  </si>
  <si>
    <t>ふるさと基金</t>
    <rPh sb="4" eb="6">
      <t>キキン</t>
    </rPh>
    <phoneticPr fontId="14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</si>
  <si>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14"/>
  </si>
  <si>
    <t>文化振興基金</t>
    <rPh sb="0" eb="2">
      <t>ブンカ</t>
    </rPh>
    <rPh sb="2" eb="4">
      <t>シンコウ</t>
    </rPh>
    <rPh sb="4" eb="6">
      <t>キキン</t>
    </rPh>
    <phoneticPr fontId="14"/>
  </si>
  <si>
    <t>みどり基金</t>
    <rPh sb="3" eb="5">
      <t>キキン</t>
    </rPh>
    <phoneticPr fontId="14"/>
  </si>
  <si>
    <t>スポーツ振興基金</t>
    <rPh sb="4" eb="6">
      <t>シンコウ</t>
    </rPh>
    <rPh sb="6" eb="8">
      <t>キキン</t>
    </rPh>
    <phoneticPr fontId="14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</si>
  <si>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14"/>
  </si>
  <si>
    <t>カルチャーパーク基金</t>
    <rPh sb="8" eb="10">
      <t>キキン</t>
    </rPh>
    <phoneticPr fontId="14"/>
  </si>
  <si>
    <t>土地開発基金</t>
    <rPh sb="0" eb="2">
      <t>トチ</t>
    </rPh>
    <rPh sb="2" eb="4">
      <t>カイハツ</t>
    </rPh>
    <rPh sb="4" eb="6">
      <t>キキン</t>
    </rPh>
    <phoneticPr fontId="14"/>
  </si>
  <si>
    <t>⑤貸付金の明細</t>
    <phoneticPr fontId="5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</si>
  <si>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</si>
  <si>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</si>
  <si>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</si>
  <si>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</si>
  <si>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</si>
  <si>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</si>
  <si>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住宅新築等資金貸付金</t>
    <phoneticPr fontId="4"/>
  </si>
  <si>
    <t>生活資金貸付金</t>
    <phoneticPr fontId="4"/>
  </si>
  <si>
    <t>⑥長期延滞債権の明細</t>
    <phoneticPr fontId="4"/>
  </si>
  <si>
    <t>徴収不能引当金計上額</t>
  </si>
  <si>
    <t>【貸付金】</t>
  </si>
  <si>
    <t>小計</t>
  </si>
  <si>
    <t>【未収金】</t>
  </si>
  <si>
    <t>市民税</t>
  </si>
  <si>
    <t>固定資産税</t>
  </si>
  <si>
    <t>軽自動車税</t>
  </si>
  <si>
    <t>特別土地保有税</t>
  </si>
  <si>
    <t>都市計画税</t>
  </si>
  <si>
    <t>分担金及び負担金</t>
  </si>
  <si>
    <t>使用料及び手数料</t>
  </si>
  <si>
    <t>財産収入</t>
    <rPh sb="0" eb="2">
      <t>ザイサン</t>
    </rPh>
    <rPh sb="2" eb="4">
      <t>シュウニュウ</t>
    </rPh>
    <phoneticPr fontId="14"/>
  </si>
  <si>
    <t>諸収入</t>
  </si>
  <si>
    <t>⑦未収金の明細</t>
    <phoneticPr fontId="4"/>
  </si>
  <si>
    <t>【貸付金】</t>
    <phoneticPr fontId="4"/>
  </si>
  <si>
    <t>財産収入</t>
  </si>
  <si>
    <t>（２）負債項目の明細</t>
    <phoneticPr fontId="4"/>
  </si>
  <si>
    <t>①地方債（借入先別）の明細</t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</si>
  <si>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</si>
  <si>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</si>
  <si>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</si>
  <si>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</si>
  <si>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</si>
  <si>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</si>
  <si>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</si>
  <si>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</si>
  <si>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</si>
  <si>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</si>
  <si>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</si>
  <si>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</si>
  <si>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</si>
  <si>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</si>
  <si>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</si>
  <si>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</si>
  <si>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</si>
  <si>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</si>
  <si>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</si>
  <si>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</si>
  <si>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</si>
  <si>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②地方債（利率別）の明細</t>
    <phoneticPr fontId="4"/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</si>
  <si>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</si>
  <si>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</si>
  <si>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</si>
  <si>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</si>
  <si>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</si>
  <si>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</si>
  <si>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</si>
  <si>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</si>
  <si>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③地方債（返済期間別）の明細</t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</si>
  <si>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</si>
  <si>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</si>
  <si>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</si>
  <si>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</si>
  <si>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</si>
  <si>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</si>
  <si>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</si>
  <si>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</si>
  <si>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</si>
  <si>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④特定の契約条項が付された地方債の概要</t>
    <phoneticPr fontId="4"/>
  </si>
  <si>
    <t>特定の契約条項が_x000D_
付された地方債等残高</t>
  </si>
  <si>
    <t>契約条項の概要</t>
  </si>
  <si>
    <t>該当なし</t>
    <rPh sb="0" eb="2">
      <t>ガイトウ</t>
    </rPh>
    <phoneticPr fontId="4"/>
  </si>
  <si>
    <t>⑤引当金の明細</t>
    <phoneticPr fontId="4"/>
  </si>
  <si>
    <t>前年度末残高</t>
  </si>
  <si>
    <t>本年度増加額</t>
  </si>
  <si>
    <t>本年度減少額</t>
  </si>
  <si>
    <t>本年度末残高</t>
  </si>
  <si>
    <t>目的使用</t>
  </si>
  <si>
    <t>徴収不能引当金</t>
    <phoneticPr fontId="4"/>
  </si>
  <si>
    <t>退職手当引当金</t>
    <phoneticPr fontId="14"/>
  </si>
  <si>
    <t>損失補償等引当金</t>
    <phoneticPr fontId="14"/>
  </si>
  <si>
    <t>賞与等引当金</t>
    <phoneticPr fontId="14"/>
  </si>
  <si>
    <t>２．行政コスト計算書の内容に関する明細</t>
    <phoneticPr fontId="4"/>
  </si>
  <si>
    <t>（１）補助金等の明細</t>
    <phoneticPr fontId="4"/>
  </si>
  <si>
    <t>名称</t>
  </si>
  <si>
    <t>相手先</t>
  </si>
  <si>
    <t>金額</t>
  </si>
  <si>
    <t>支出目的</t>
  </si>
  <si>
    <t>他団体への公共施設等整備補助金等_x000D_
(所有外資産分)</t>
  </si>
  <si>
    <t>鶴巻温泉駅南口周辺整備事業費</t>
    <phoneticPr fontId="4"/>
  </si>
  <si>
    <t>小田急電鉄</t>
    <phoneticPr fontId="4"/>
  </si>
  <si>
    <t>鶴巻温泉駅周辺整備のため</t>
    <phoneticPr fontId="4"/>
  </si>
  <si>
    <t>保育所等緊急整備事業補助金</t>
    <phoneticPr fontId="4"/>
  </si>
  <si>
    <t>保育所を整備する事業者</t>
    <phoneticPr fontId="4"/>
  </si>
  <si>
    <t>保育所整備のため</t>
    <phoneticPr fontId="4"/>
  </si>
  <si>
    <t>その他</t>
    <rPh sb="2" eb="3">
      <t>タ</t>
    </rPh>
    <phoneticPr fontId="4"/>
  </si>
  <si>
    <t>－</t>
    <phoneticPr fontId="4"/>
  </si>
  <si>
    <t>計</t>
  </si>
  <si>
    <t>その他の補助金等</t>
  </si>
  <si>
    <t>秦野市伊勢原市環境衛生組合負担金</t>
    <phoneticPr fontId="4"/>
  </si>
  <si>
    <t>秦野市伊勢原市環境衛生組合</t>
    <phoneticPr fontId="4"/>
  </si>
  <si>
    <t>一部事務組合負担金</t>
    <phoneticPr fontId="4"/>
  </si>
  <si>
    <t>社会福祉協議会補助金</t>
    <phoneticPr fontId="4"/>
  </si>
  <si>
    <t>社会福祉協議会</t>
    <phoneticPr fontId="4"/>
  </si>
  <si>
    <t>地域福祉の推進のため</t>
    <phoneticPr fontId="4"/>
  </si>
  <si>
    <t>－</t>
    <phoneticPr fontId="4"/>
  </si>
  <si>
    <t>３．純資産変動計算書の内容に関する明細</t>
    <phoneticPr fontId="4"/>
  </si>
  <si>
    <t>（１）財源の明細</t>
    <phoneticPr fontId="4"/>
  </si>
  <si>
    <t>会計</t>
  </si>
  <si>
    <t>財源の内容</t>
  </si>
  <si>
    <t>一般会計</t>
  </si>
  <si>
    <t>税収等</t>
  </si>
  <si>
    <t>地方税</t>
    <phoneticPr fontId="4"/>
  </si>
  <si>
    <t>地方交付税</t>
    <phoneticPr fontId="4"/>
  </si>
  <si>
    <t>地方譲与税</t>
    <phoneticPr fontId="4"/>
  </si>
  <si>
    <t>その他</t>
    <phoneticPr fontId="4"/>
  </si>
  <si>
    <t>国県等補助金</t>
  </si>
  <si>
    <t>資本的_x000D_
補助金</t>
  </si>
  <si>
    <t>国庫支出金</t>
    <phoneticPr fontId="4"/>
  </si>
  <si>
    <t>都道府県等支出金</t>
    <phoneticPr fontId="4"/>
  </si>
  <si>
    <t>経常的_x000D_
補助金</t>
  </si>
  <si>
    <t>（２）財源情報の明細</t>
    <phoneticPr fontId="4"/>
  </si>
  <si>
    <t>内訳</t>
  </si>
  <si>
    <t>地方債等</t>
  </si>
  <si>
    <t>純行政コスト</t>
  </si>
  <si>
    <t>有形固定資産等の増加</t>
  </si>
  <si>
    <t>貸付金・基金等の増加</t>
  </si>
  <si>
    <t>４．資金収支計算書の内容に関する明細</t>
    <phoneticPr fontId="4"/>
  </si>
  <si>
    <t>（１）資金の明細</t>
    <phoneticPr fontId="4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</si>
  <si>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</si>
  <si>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</si>
  <si>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定期預金</t>
    <rPh sb="0" eb="2">
      <t>テイキ</t>
    </rPh>
    <rPh sb="2" eb="4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</si>
</sst>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%"/>
  </numFmts>
  <fonts count="20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00">
    <xf numFmtId="0" fontId="0" fillId="0" borderId="0" xfId="0"/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3" fontId="8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12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0" fontId="11" fillId="0" borderId="1" xfId="4" applyFont="1" applyBorder="1" applyAlignment="1">
      <alignment horizontal="left" vertical="center" wrapText="1"/>
    </xf>
    <xf numFmtId="176" fontId="11" fillId="0" borderId="2" xfId="5" applyNumberFormat="1" applyFont="1" applyFill="1" applyBorder="1" applyAlignment="1">
      <alignment vertical="center"/>
    </xf>
    <xf numFmtId="176" fontId="11" fillId="0" borderId="1" xfId="5" applyNumberFormat="1" applyFont="1" applyFill="1" applyBorder="1" applyAlignment="1">
      <alignment horizontal="right" vertical="center"/>
    </xf>
    <xf numFmtId="176" fontId="11" fillId="0" borderId="1" xfId="6" applyNumberFormat="1" applyFont="1" applyFill="1" applyBorder="1">
      <alignment vertical="center"/>
    </xf>
    <xf numFmtId="10" fontId="11" fillId="0" borderId="1" xfId="7" applyNumberFormat="1" applyFont="1" applyBorder="1">
      <alignment vertical="center"/>
    </xf>
    <xf numFmtId="176" fontId="11" fillId="0" borderId="1" xfId="6" applyNumberFormat="1" applyFont="1" applyBorder="1">
      <alignment vertical="center"/>
    </xf>
    <xf numFmtId="176" fontId="11" fillId="0" borderId="1" xfId="4" applyNumberFormat="1" applyFont="1" applyBorder="1" applyAlignment="1">
      <alignment horizontal="right" vertical="center"/>
    </xf>
    <xf numFmtId="176" fontId="11" fillId="0" borderId="1" xfId="4" applyNumberFormat="1" applyFont="1" applyBorder="1">
      <alignment vertical="center"/>
    </xf>
    <xf numFmtId="3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" xfId="4" applyNumberFormat="1" applyFont="1" applyFill="1" applyBorder="1" applyAlignment="1">
      <alignment horizontal="right" vertical="center"/>
    </xf>
    <xf numFmtId="176" fontId="11" fillId="0" borderId="1" xfId="6" applyNumberFormat="1" applyFont="1" applyFill="1" applyBorder="1" applyAlignment="1">
      <alignment vertical="center"/>
    </xf>
    <xf numFmtId="176" fontId="11" fillId="0" borderId="1" xfId="6" applyNumberFormat="1" applyFont="1" applyFill="1" applyBorder="1" applyAlignment="1">
      <alignment horizontal="right" vertical="center"/>
    </xf>
    <xf numFmtId="10" fontId="11" fillId="0" borderId="1" xfId="8" applyNumberFormat="1" applyFont="1" applyFill="1" applyBorder="1" applyAlignment="1">
      <alignment horizontal="right" vertical="center"/>
    </xf>
    <xf numFmtId="0" fontId="11" fillId="0" borderId="1" xfId="4" applyFont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38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9" applyFont="1" applyFill="1" applyBorder="1" applyAlignment="1">
      <alignment vertical="center" wrapText="1"/>
    </xf>
    <xf numFmtId="38" fontId="11" fillId="0" borderId="3" xfId="2" applyFont="1" applyBorder="1">
      <alignment vertical="center"/>
    </xf>
    <xf numFmtId="38" fontId="11" fillId="0" borderId="1" xfId="2" applyFont="1" applyBorder="1">
      <alignment vertical="center"/>
    </xf>
    <xf numFmtId="0" fontId="8" fillId="0" borderId="0" xfId="0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8" fontId="11" fillId="0" borderId="1" xfId="2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38" fontId="11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15" fillId="0" borderId="5" xfId="4" applyFont="1" applyBorder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15" fillId="0" borderId="1" xfId="4" applyFont="1" applyBorder="1">
      <alignment vertical="center"/>
    </xf>
    <xf numFmtId="3" fontId="3" fillId="0" borderId="5" xfId="0" applyNumberFormat="1" applyFont="1" applyBorder="1" applyAlignment="1">
      <alignment horizontal="right" vertical="center"/>
    </xf>
    <xf numFmtId="38" fontId="11" fillId="0" borderId="5" xfId="0" applyNumberFormat="1" applyFont="1" applyBorder="1" applyAlignment="1">
      <alignment vertical="center"/>
    </xf>
    <xf numFmtId="38" fontId="11" fillId="0" borderId="4" xfId="2" applyFont="1" applyBorder="1" applyAlignment="1">
      <alignment horizontal="right" vertical="center"/>
    </xf>
    <xf numFmtId="0" fontId="11" fillId="0" borderId="1" xfId="4" applyFont="1" applyBorder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8" fontId="3" fillId="0" borderId="1" xfId="2" applyFont="1" applyBorder="1" applyAlignment="1">
      <alignment vertical="center"/>
    </xf>
    <xf numFmtId="38" fontId="11" fillId="0" borderId="11" xfId="2" applyFont="1" applyBorder="1">
      <alignment vertical="center"/>
    </xf>
    <xf numFmtId="38" fontId="11" fillId="0" borderId="10" xfId="2" applyFont="1" applyBorder="1">
      <alignment vertical="center"/>
    </xf>
    <xf numFmtId="38" fontId="11" fillId="0" borderId="1" xfId="2" applyFont="1" applyFill="1" applyBorder="1">
      <alignment vertical="center"/>
    </xf>
    <xf numFmtId="38" fontId="3" fillId="0" borderId="10" xfId="2" applyFont="1" applyBorder="1" applyAlignment="1">
      <alignment vertical="center"/>
    </xf>
    <xf numFmtId="38" fontId="11" fillId="0" borderId="11" xfId="2" applyFont="1" applyBorder="1" applyAlignment="1">
      <alignment horizontal="right" vertical="center" shrinkToFit="1"/>
    </xf>
    <xf numFmtId="38" fontId="11" fillId="0" borderId="1" xfId="2" applyFont="1" applyBorder="1" applyAlignment="1">
      <alignment vertical="center" shrinkToFit="1"/>
    </xf>
    <xf numFmtId="177" fontId="11" fillId="0" borderId="1" xfId="3" applyNumberFormat="1" applyFont="1" applyBorder="1" applyAlignment="1">
      <alignment vertical="center" shrinkToFit="1"/>
    </xf>
    <xf numFmtId="3" fontId="3" fillId="0" borderId="11" xfId="0" applyNumberFormat="1" applyFont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8" fontId="11" fillId="0" borderId="1" xfId="2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8" fontId="11" fillId="0" borderId="1" xfId="2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8" fillId="2" borderId="1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0" borderId="13" xfId="0" applyNumberFormat="1" applyFont="1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3" fontId="18" fillId="0" borderId="1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horizontal="center" vertical="center"/>
    </xf>
  </cellXfs>
  <cellStyles count="10">
    <cellStyle name="パーセント" xfId="3" builtinId="5"/>
    <cellStyle name="パーセント 3" xfId="7"/>
    <cellStyle name="パーセント 3 2" xfId="8"/>
    <cellStyle name="桁区切り" xfId="2" builtinId="6"/>
    <cellStyle name="桁区切り 2" xfId="5"/>
    <cellStyle name="桁区切り 3" xfId="6"/>
    <cellStyle name="標準" xfId="0" builtinId="0"/>
    <cellStyle name="標準 10 17" xfId="9"/>
    <cellStyle name="標準 2" xfId="1"/>
    <cellStyle name="標準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sqref="A1:E1"/>
    </sheetView>
  </sheetViews>
  <sheetFormatPr defaultColWidth="8.875" defaultRowHeight="11.25"/>
  <cols>
    <col min="1" max="1" width="30.75" style="5" customWidth="1"/>
    <col min="2" max="8" width="15.875" style="5" customWidth="1"/>
    <col min="9" max="16384" width="8.875" style="5"/>
  </cols>
  <sheetData>
    <row r="1" spans="1:19" s="7" customFormat="1" ht="18.75" customHeight="1">
      <c r="A1" s="14" t="s">
        <v>9</v>
      </c>
      <c r="B1" s="14"/>
      <c r="C1" s="14"/>
      <c r="D1" s="14"/>
      <c r="E1" s="14"/>
    </row>
    <row r="2" spans="1:19" s="7" customFormat="1" ht="24.75" customHeight="1">
      <c r="A2" s="16" t="s">
        <v>10</v>
      </c>
      <c r="B2" s="16"/>
      <c r="C2" s="16"/>
      <c r="D2" s="16"/>
      <c r="E2" s="16"/>
      <c r="F2" s="16"/>
      <c r="G2" s="16"/>
      <c r="H2" s="16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10" customFormat="1" ht="19.5" customHeight="1">
      <c r="A3" s="15" t="s">
        <v>11</v>
      </c>
      <c r="B3" s="15"/>
      <c r="C3" s="15"/>
      <c r="D3" s="15"/>
      <c r="E3" s="15"/>
      <c r="F3" s="15"/>
      <c r="G3" s="15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9" s="10" customFormat="1" ht="17.25" customHeight="1">
      <c r="A4" s="17" t="s">
        <v>12</v>
      </c>
      <c r="B4" s="17"/>
      <c r="C4" s="17"/>
      <c r="D4" s="17"/>
      <c r="E4" s="17"/>
      <c r="F4" s="17"/>
      <c r="G4" s="17"/>
      <c r="H4" s="17"/>
    </row>
    <row r="5" spans="1:19" s="10" customFormat="1" ht="16.5" customHeight="1">
      <c r="A5" s="17" t="s">
        <v>13</v>
      </c>
      <c r="B5" s="17"/>
      <c r="C5" s="17"/>
      <c r="D5" s="17"/>
      <c r="E5" s="17"/>
      <c r="F5" s="17"/>
      <c r="G5" s="17"/>
      <c r="H5" s="17"/>
    </row>
    <row r="6" spans="1:19" s="8" customFormat="1" ht="20.25" customHeight="1">
      <c r="A6" s="8" t="s">
        <v>14</v>
      </c>
    </row>
    <row r="7" spans="1:19" ht="13.5">
      <c r="A7" s="1"/>
      <c r="B7" s="1"/>
      <c r="C7" s="1"/>
      <c r="D7" s="1"/>
      <c r="E7" s="1"/>
      <c r="F7" s="1"/>
      <c r="G7" s="1"/>
      <c r="H7" s="3" t="s">
        <v>0</v>
      </c>
    </row>
    <row r="8" spans="1:19" ht="33.75">
      <c r="A8" s="4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</row>
    <row r="9" spans="1:19">
      <c r="A9" s="6" t="s">
        <v>15</v>
      </c>
      <c r="B9" s="12">
        <f>SUM(B10:B22)</f>
        <v>131072527298</v>
      </c>
      <c r="C9" s="12">
        <f>SUM(C10:C22)</f>
        <v>2272632890</v>
      </c>
      <c r="D9" s="12">
        <f>SUM(D10:D22)</f>
        <v>854592192</v>
      </c>
      <c r="E9" s="12">
        <f>+B9+C9-D9</f>
        <v>132490567996</v>
      </c>
      <c r="F9" s="12">
        <f>SUM(F10:F22)</f>
        <v>45866806320</v>
      </c>
      <c r="G9" s="12">
        <f>SUM(G10:G22)</f>
        <v>430370020</v>
      </c>
      <c r="H9" s="12">
        <f>+E9-F9</f>
        <v>86623761676</v>
      </c>
    </row>
    <row r="10" spans="1:19">
      <c r="A10" s="6" t="s">
        <v>16</v>
      </c>
      <c r="B10" s="12">
        <v>56148217425</v>
      </c>
      <c r="C10" s="12">
        <v>346342264</v>
      </c>
      <c r="D10" s="12">
        <v>219186832</v>
      </c>
      <c r="E10" s="12">
        <f t="shared" ref="E10" si="0">+B10+C10-D10</f>
        <v>56275372857</v>
      </c>
      <c r="F10" s="12"/>
      <c r="G10" s="12"/>
      <c r="H10" s="12">
        <f t="shared" ref="H10" si="1">+E10-F10</f>
        <v>56275372857</v>
      </c>
    </row>
    <row r="11" spans="1:19">
      <c r="A11" s="6" t="s">
        <v>17</v>
      </c>
      <c r="B11" s="12"/>
      <c r="C11" s="12"/>
      <c r="D11" s="12"/>
      <c r="E11" s="12">
        <v>0</v>
      </c>
      <c r="F11" s="12"/>
      <c r="G11" s="12"/>
      <c r="H11" s="12">
        <v>0</v>
      </c>
    </row>
    <row r="12" spans="1:19">
      <c r="A12" s="6" t="s">
        <v>18</v>
      </c>
      <c r="B12" s="12">
        <v>62738045937</v>
      </c>
      <c r="C12" s="12">
        <v>1426000119</v>
      </c>
      <c r="D12" s="12">
        <v>8209200</v>
      </c>
      <c r="E12" s="12">
        <f t="shared" ref="E12:E13" si="2">+B12+C12-D12</f>
        <v>64155836856</v>
      </c>
      <c r="F12" s="12">
        <v>37733275447</v>
      </c>
      <c r="G12" s="12">
        <v>181185727</v>
      </c>
      <c r="H12" s="12">
        <f t="shared" ref="H12:H13" si="3">+E12-F12</f>
        <v>26422561409</v>
      </c>
    </row>
    <row r="13" spans="1:19">
      <c r="A13" s="6" t="s">
        <v>19</v>
      </c>
      <c r="B13" s="12">
        <v>11420930736</v>
      </c>
      <c r="C13" s="12">
        <v>100299037</v>
      </c>
      <c r="D13" s="12">
        <v>24120000</v>
      </c>
      <c r="E13" s="12">
        <f t="shared" si="2"/>
        <v>11497109773</v>
      </c>
      <c r="F13" s="12">
        <v>8133530873</v>
      </c>
      <c r="G13" s="12">
        <v>249184293</v>
      </c>
      <c r="H13" s="12">
        <f t="shared" si="3"/>
        <v>3363578900</v>
      </c>
    </row>
    <row r="14" spans="1:19">
      <c r="A14" s="6" t="s">
        <v>20</v>
      </c>
      <c r="B14" s="12"/>
      <c r="C14" s="12"/>
      <c r="D14" s="12"/>
      <c r="E14" s="12">
        <v>0</v>
      </c>
      <c r="F14" s="12"/>
      <c r="G14" s="12"/>
      <c r="H14" s="12">
        <v>0</v>
      </c>
    </row>
    <row r="15" spans="1:19" ht="12" hidden="1" customHeight="1">
      <c r="A15" s="6"/>
      <c r="B15" s="12"/>
      <c r="C15" s="12"/>
      <c r="D15" s="12"/>
      <c r="E15" s="12"/>
      <c r="F15" s="12"/>
      <c r="G15" s="12"/>
      <c r="H15" s="12"/>
    </row>
    <row r="16" spans="1:19" ht="12" hidden="1" customHeight="1">
      <c r="A16" s="6"/>
      <c r="B16" s="12"/>
      <c r="C16" s="12"/>
      <c r="D16" s="12"/>
      <c r="E16" s="12"/>
      <c r="F16" s="12"/>
      <c r="G16" s="12"/>
      <c r="H16" s="12"/>
    </row>
    <row r="17" spans="1:8" ht="12" hidden="1" customHeight="1">
      <c r="A17" s="6"/>
      <c r="B17" s="12"/>
      <c r="C17" s="12"/>
      <c r="D17" s="12"/>
      <c r="E17" s="12"/>
      <c r="F17" s="12"/>
      <c r="G17" s="12"/>
      <c r="H17" s="12"/>
    </row>
    <row r="18" spans="1:8">
      <c r="A18" s="6" t="s">
        <v>21</v>
      </c>
      <c r="B18" s="12"/>
      <c r="C18" s="12"/>
      <c r="D18" s="12"/>
      <c r="E18" s="12">
        <v>0</v>
      </c>
      <c r="F18" s="12"/>
      <c r="G18" s="12"/>
      <c r="H18" s="12">
        <v>0</v>
      </c>
    </row>
    <row r="19" spans="1:8">
      <c r="A19" s="6" t="s">
        <v>22</v>
      </c>
      <c r="B19" s="12"/>
      <c r="C19" s="12"/>
      <c r="D19" s="12"/>
      <c r="E19" s="12">
        <v>0</v>
      </c>
      <c r="F19" s="12"/>
      <c r="G19" s="12"/>
      <c r="H19" s="12">
        <v>0</v>
      </c>
    </row>
    <row r="20" spans="1:8">
      <c r="A20" s="6" t="s">
        <v>23</v>
      </c>
      <c r="B20" s="12"/>
      <c r="C20" s="12"/>
      <c r="D20" s="12"/>
      <c r="E20" s="12">
        <v>0</v>
      </c>
      <c r="F20" s="12"/>
      <c r="G20" s="12"/>
      <c r="H20" s="12">
        <v>0</v>
      </c>
    </row>
    <row r="21" spans="1:8" ht="12" hidden="1" customHeight="1">
      <c r="A21" s="6"/>
      <c r="B21" s="12"/>
      <c r="C21" s="12"/>
      <c r="D21" s="12"/>
      <c r="E21" s="12"/>
      <c r="F21" s="12"/>
      <c r="G21" s="12"/>
      <c r="H21" s="12"/>
    </row>
    <row r="22" spans="1:8">
      <c r="A22" s="6" t="s">
        <v>24</v>
      </c>
      <c r="B22" s="12">
        <v>765333200</v>
      </c>
      <c r="C22" s="12">
        <v>399991470</v>
      </c>
      <c r="D22" s="12">
        <v>603076160</v>
      </c>
      <c r="E22" s="12">
        <f t="shared" ref="E22" si="4">+B22+C22-D22</f>
        <v>562248510</v>
      </c>
      <c r="F22" s="12"/>
      <c r="G22" s="12"/>
      <c r="H22" s="12">
        <f>+E22-F22</f>
        <v>562248510</v>
      </c>
    </row>
    <row r="23" spans="1:8">
      <c r="A23" s="6" t="s">
        <v>25</v>
      </c>
      <c r="B23" s="12">
        <f>SUM(B25:B30)</f>
        <v>205157436511</v>
      </c>
      <c r="C23" s="12">
        <f>SUM(C25:C30)</f>
        <v>1027365313</v>
      </c>
      <c r="D23" s="12">
        <f>SUM(D25:D30)</f>
        <v>45675226</v>
      </c>
      <c r="E23" s="12">
        <f>+B23+C23-D23</f>
        <v>206139126598</v>
      </c>
      <c r="F23" s="12">
        <f>SUM(F25:F30)</f>
        <v>79983739550</v>
      </c>
      <c r="G23" s="12">
        <f>SUM(G25:G30)</f>
        <v>2702433674</v>
      </c>
      <c r="H23" s="12">
        <f>+E23-F23</f>
        <v>126155387048</v>
      </c>
    </row>
    <row r="24" spans="1:8" ht="12" hidden="1" customHeight="1">
      <c r="A24" s="6"/>
      <c r="B24" s="12"/>
      <c r="C24" s="12"/>
      <c r="D24" s="12"/>
      <c r="E24" s="12"/>
      <c r="F24" s="12"/>
      <c r="G24" s="12"/>
      <c r="H24" s="12"/>
    </row>
    <row r="25" spans="1:8">
      <c r="A25" s="6" t="s">
        <v>26</v>
      </c>
      <c r="B25" s="12">
        <v>52284064062</v>
      </c>
      <c r="C25" s="12">
        <v>188318465</v>
      </c>
      <c r="D25" s="12"/>
      <c r="E25" s="12">
        <f>+B25+C25-D25</f>
        <v>52472382527</v>
      </c>
      <c r="F25" s="12"/>
      <c r="G25" s="12"/>
      <c r="H25" s="12">
        <f>+E25-F25</f>
        <v>52472382527</v>
      </c>
    </row>
    <row r="26" spans="1:8" ht="12" hidden="1" customHeight="1">
      <c r="A26" s="6"/>
      <c r="B26" s="12"/>
      <c r="C26" s="12"/>
      <c r="D26" s="12"/>
      <c r="E26" s="12">
        <f t="shared" ref="E26:E31" si="5">+B26+C26-D26</f>
        <v>0</v>
      </c>
      <c r="F26" s="12"/>
      <c r="G26" s="12"/>
      <c r="H26" s="12">
        <f t="shared" ref="H26:H31" si="6">+E26-F26</f>
        <v>0</v>
      </c>
    </row>
    <row r="27" spans="1:8">
      <c r="A27" s="6" t="s">
        <v>18</v>
      </c>
      <c r="B27" s="12">
        <v>482238590</v>
      </c>
      <c r="C27" s="12"/>
      <c r="D27" s="12"/>
      <c r="E27" s="12">
        <f>+B27+C27-D27</f>
        <v>482238590</v>
      </c>
      <c r="F27" s="12">
        <v>184114804</v>
      </c>
      <c r="G27" s="12">
        <v>1045240</v>
      </c>
      <c r="H27" s="12">
        <f t="shared" si="6"/>
        <v>298123786</v>
      </c>
    </row>
    <row r="28" spans="1:8">
      <c r="A28" s="6" t="s">
        <v>19</v>
      </c>
      <c r="B28" s="12">
        <v>152347152259</v>
      </c>
      <c r="C28" s="12">
        <v>750060248</v>
      </c>
      <c r="D28" s="12">
        <v>20835226</v>
      </c>
      <c r="E28" s="12">
        <f>+B28+C28-D28</f>
        <v>153076377281</v>
      </c>
      <c r="F28" s="12">
        <v>79799624746</v>
      </c>
      <c r="G28" s="12">
        <v>2701388434</v>
      </c>
      <c r="H28" s="12">
        <f t="shared" si="6"/>
        <v>73276752535</v>
      </c>
    </row>
    <row r="29" spans="1:8">
      <c r="A29" s="6" t="s">
        <v>27</v>
      </c>
      <c r="B29" s="12"/>
      <c r="C29" s="12"/>
      <c r="D29" s="12"/>
      <c r="E29" s="12">
        <v>0</v>
      </c>
      <c r="F29" s="12"/>
      <c r="G29" s="12"/>
      <c r="H29" s="12">
        <f t="shared" si="6"/>
        <v>0</v>
      </c>
    </row>
    <row r="30" spans="1:8">
      <c r="A30" s="6" t="s">
        <v>28</v>
      </c>
      <c r="B30" s="12">
        <v>43981600</v>
      </c>
      <c r="C30" s="12">
        <v>88986600</v>
      </c>
      <c r="D30" s="12">
        <v>24840000</v>
      </c>
      <c r="E30" s="12">
        <f t="shared" ref="E30" si="7">+B30+C30-D30</f>
        <v>108128200</v>
      </c>
      <c r="F30" s="12"/>
      <c r="G30" s="12"/>
      <c r="H30" s="12">
        <f t="shared" si="6"/>
        <v>108128200</v>
      </c>
    </row>
    <row r="31" spans="1:8">
      <c r="A31" s="6" t="s">
        <v>29</v>
      </c>
      <c r="B31" s="12">
        <v>3756170770</v>
      </c>
      <c r="C31" s="12">
        <v>181512648</v>
      </c>
      <c r="D31" s="12">
        <v>174711047</v>
      </c>
      <c r="E31" s="12">
        <f t="shared" si="5"/>
        <v>3762972371</v>
      </c>
      <c r="F31" s="12">
        <v>1763735738</v>
      </c>
      <c r="G31" s="12">
        <v>125198102</v>
      </c>
      <c r="H31" s="12">
        <f t="shared" si="6"/>
        <v>1999236633</v>
      </c>
    </row>
    <row r="32" spans="1:8">
      <c r="A32" s="11" t="s">
        <v>30</v>
      </c>
      <c r="B32" s="12">
        <f>B9+B23+B31</f>
        <v>339986134579</v>
      </c>
      <c r="C32" s="12">
        <f>C9+C23+C31</f>
        <v>3481510851</v>
      </c>
      <c r="D32" s="12">
        <f>D9+D23+D31</f>
        <v>1074978465</v>
      </c>
      <c r="E32" s="12">
        <f>+B32+C32-D32</f>
        <v>342392666965</v>
      </c>
      <c r="F32" s="12">
        <f>F9+F23+F31</f>
        <v>127614281608</v>
      </c>
      <c r="G32" s="12">
        <f>G9+G23+G31</f>
        <v>3258001796</v>
      </c>
      <c r="H32" s="12">
        <f>+E32-F32</f>
        <v>214778385357</v>
      </c>
    </row>
  </sheetData>
  <mergeCells count="5">
    <mergeCell ref="A1:E1"/>
    <mergeCell ref="A3:G3"/>
    <mergeCell ref="A2:H2"/>
    <mergeCell ref="A4:H4"/>
    <mergeCell ref="A5:H5"/>
  </mergeCells>
  <phoneticPr fontId="4"/>
  <pageMargins left="0.78740157480314965" right="0.39370078740157483" top="1.1811023622047245" bottom="0.39370078740157483" header="0.19685039370078741" footer="0.19685039370078741"/>
  <pageSetup paperSize="9" scale="83" orientation="landscape" r:id="rId1"/>
  <headerFooter>
    <oddHeader>&amp;R&amp;9&amp;D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workbookViewId="0"/>
  </sheetViews>
  <sheetFormatPr defaultColWidth="8.875" defaultRowHeight="11.25"/>
  <cols>
    <col min="1" max="1" width="22.875" style="5" customWidth="1"/>
    <col min="2" max="10" width="12.875" style="5" customWidth="1"/>
    <col min="11" max="16384" width="8.875" style="5"/>
  </cols>
  <sheetData>
    <row r="1" spans="1:10" ht="17.25">
      <c r="A1" s="8" t="s">
        <v>166</v>
      </c>
    </row>
    <row r="2" spans="1:10" ht="13.5">
      <c r="J2" s="3" t="s">
        <v>50</v>
      </c>
    </row>
    <row r="3" spans="1:10" ht="22.5" customHeight="1">
      <c r="A3" s="68" t="s">
        <v>136</v>
      </c>
      <c r="B3" s="23" t="s">
        <v>167</v>
      </c>
      <c r="C3" s="24" t="s">
        <v>168</v>
      </c>
      <c r="D3" s="24" t="s">
        <v>169</v>
      </c>
      <c r="E3" s="24" t="s">
        <v>170</v>
      </c>
      <c r="F3" s="24" t="s">
        <v>171</v>
      </c>
      <c r="G3" s="24" t="s">
        <v>172</v>
      </c>
      <c r="H3" s="24" t="s">
        <v>173</v>
      </c>
      <c r="I3" s="24" t="s">
        <v>174</v>
      </c>
      <c r="J3" s="23" t="s">
        <v>175</v>
      </c>
    </row>
    <row r="4" spans="1:10" ht="18" customHeight="1">
      <c r="A4" s="77">
        <v>33987393527</v>
      </c>
      <c r="B4" s="25">
        <v>3070519521</v>
      </c>
      <c r="C4" s="25">
        <v>3215171332</v>
      </c>
      <c r="D4" s="25">
        <v>3266166849</v>
      </c>
      <c r="E4" s="25">
        <v>3133310800</v>
      </c>
      <c r="F4" s="25">
        <v>2906173514</v>
      </c>
      <c r="G4" s="25">
        <v>10223713674</v>
      </c>
      <c r="H4" s="25">
        <v>5963689511</v>
      </c>
      <c r="I4" s="25">
        <v>2149036648</v>
      </c>
      <c r="J4" s="25">
        <f>+A4-SUM(B4:I4)</f>
        <v>59611678</v>
      </c>
    </row>
  </sheetData>
  <phoneticPr fontId="4"/>
  <pageMargins left="0.39370078740157483" right="0.39370078740157483" top="1.1811023622047245" bottom="0.39370078740157483" header="0.19685039370078741" footer="0.19685039370078741"/>
  <pageSetup paperSize="9" scale="92" orientation="landscape" r:id="rId1"/>
  <headerFooter>
    <oddHeader>&amp;R&amp;9&amp;D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5" sqref="A5"/>
    </sheetView>
  </sheetViews>
  <sheetFormatPr defaultColWidth="8.875" defaultRowHeight="11.25"/>
  <cols>
    <col min="1" max="1" width="22.875" style="5" customWidth="1"/>
    <col min="2" max="2" width="112.875" style="5" customWidth="1"/>
    <col min="3" max="16384" width="8.875" style="5"/>
  </cols>
  <sheetData>
    <row r="1" spans="1:2" ht="17.25">
      <c r="A1" s="8" t="s">
        <v>176</v>
      </c>
    </row>
    <row r="2" spans="1:2" ht="13.5">
      <c r="B2" s="3" t="s">
        <v>50</v>
      </c>
    </row>
    <row r="3" spans="1:2" ht="22.5" customHeight="1">
      <c r="A3" s="78" t="s">
        <v>177</v>
      </c>
      <c r="B3" s="23" t="s">
        <v>178</v>
      </c>
    </row>
    <row r="4" spans="1:2" ht="18" customHeight="1">
      <c r="A4" s="79" t="s">
        <v>179</v>
      </c>
      <c r="B4" s="25"/>
    </row>
  </sheetData>
  <phoneticPr fontId="4"/>
  <pageMargins left="0.39370078740157483" right="0.39370078740157483" top="1.1811023622047245" bottom="0.39370078740157483" header="0.19685039370078741" footer="0.19685039370078741"/>
  <pageSetup paperSize="9" scale="94" fitToHeight="0" orientation="landscape" r:id="rId1"/>
  <headerFooter>
    <oddHeader>&amp;R&amp;9&amp;D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ColWidth="8.875" defaultRowHeight="11.25"/>
  <cols>
    <col min="1" max="1" width="18.875" style="5" customWidth="1"/>
    <col min="2" max="6" width="20.875" style="5" customWidth="1"/>
    <col min="7" max="16384" width="8.875" style="5"/>
  </cols>
  <sheetData>
    <row r="1" spans="1:6" ht="17.25">
      <c r="A1" s="8" t="s">
        <v>180</v>
      </c>
    </row>
    <row r="2" spans="1:6" ht="13.5">
      <c r="F2" s="3" t="s">
        <v>50</v>
      </c>
    </row>
    <row r="3" spans="1:6" ht="22.5" customHeight="1">
      <c r="A3" s="50" t="s">
        <v>1</v>
      </c>
      <c r="B3" s="50" t="s">
        <v>181</v>
      </c>
      <c r="C3" s="50" t="s">
        <v>182</v>
      </c>
      <c r="D3" s="50" t="s">
        <v>183</v>
      </c>
      <c r="E3" s="50"/>
      <c r="F3" s="50" t="s">
        <v>184</v>
      </c>
    </row>
    <row r="4" spans="1:6" ht="22.5" customHeight="1">
      <c r="A4" s="50"/>
      <c r="B4" s="50"/>
      <c r="C4" s="50"/>
      <c r="D4" s="23" t="s">
        <v>185</v>
      </c>
      <c r="E4" s="23" t="s">
        <v>95</v>
      </c>
      <c r="F4" s="50"/>
    </row>
    <row r="5" spans="1:6" ht="18" customHeight="1">
      <c r="A5" s="6" t="s">
        <v>186</v>
      </c>
      <c r="B5" s="25">
        <v>160304582</v>
      </c>
      <c r="C5" s="12">
        <f>F5-B5+D5</f>
        <v>103459284</v>
      </c>
      <c r="D5" s="25">
        <v>135883067</v>
      </c>
      <c r="E5" s="25"/>
      <c r="F5" s="12">
        <v>127880799</v>
      </c>
    </row>
    <row r="6" spans="1:6" ht="18" customHeight="1">
      <c r="A6" s="44" t="s">
        <v>187</v>
      </c>
      <c r="B6" s="48">
        <v>6438511000</v>
      </c>
      <c r="C6" s="12"/>
      <c r="D6" s="12">
        <v>237842000</v>
      </c>
      <c r="E6" s="12"/>
      <c r="F6" s="12">
        <v>6200669000</v>
      </c>
    </row>
    <row r="7" spans="1:6" ht="18" customHeight="1">
      <c r="A7" s="44" t="s">
        <v>188</v>
      </c>
      <c r="B7" s="48">
        <v>1830194000</v>
      </c>
      <c r="C7" s="12"/>
      <c r="D7" s="12">
        <v>290486000</v>
      </c>
      <c r="E7" s="12"/>
      <c r="F7" s="12">
        <v>1539708000</v>
      </c>
    </row>
    <row r="8" spans="1:6" ht="18" customHeight="1">
      <c r="A8" s="44" t="s">
        <v>189</v>
      </c>
      <c r="B8" s="48">
        <v>593140879</v>
      </c>
      <c r="C8" s="12">
        <f>F8</f>
        <v>624335434</v>
      </c>
      <c r="D8" s="25">
        <v>593140879</v>
      </c>
      <c r="E8" s="25"/>
      <c r="F8" s="12">
        <v>624335434</v>
      </c>
    </row>
    <row r="9" spans="1:6" ht="18" customHeight="1">
      <c r="A9" s="11" t="s">
        <v>39</v>
      </c>
      <c r="B9" s="48">
        <f>+SUM(B5:B8)</f>
        <v>9022150461</v>
      </c>
      <c r="C9" s="48">
        <f>+SUM(C5:C8)</f>
        <v>727794718</v>
      </c>
      <c r="D9" s="48">
        <f>+SUM(D5:D8)</f>
        <v>1257351946</v>
      </c>
      <c r="E9" s="48">
        <f>+SUM(E5:E8)</f>
        <v>0</v>
      </c>
      <c r="F9" s="72">
        <f>+SUM(F5:F8)</f>
        <v>8492593233</v>
      </c>
    </row>
  </sheetData>
  <mergeCells count="5">
    <mergeCell ref="A3:A4"/>
    <mergeCell ref="B3:B4"/>
    <mergeCell ref="C3:C4"/>
    <mergeCell ref="D3:E3"/>
    <mergeCell ref="F3:F4"/>
  </mergeCells>
  <phoneticPr fontId="4"/>
  <pageMargins left="0.39370078740157483" right="0.39370078740157483" top="1.1811023622047245" bottom="0.39370078740157483" header="0.19685039370078741" footer="0.19685039370078741"/>
  <pageSetup paperSize="9" orientation="landscape" r:id="rId1"/>
  <headerFooter>
    <oddHeader>&amp;R&amp;9&amp;D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1" sqref="E11"/>
    </sheetView>
  </sheetViews>
  <sheetFormatPr defaultColWidth="8.875" defaultRowHeight="11.25"/>
  <cols>
    <col min="1" max="1" width="25.875" style="5" customWidth="1"/>
    <col min="2" max="2" width="26.125" style="5" customWidth="1"/>
    <col min="3" max="3" width="22.625" style="5" customWidth="1"/>
    <col min="4" max="4" width="18" style="5" customWidth="1"/>
    <col min="5" max="5" width="24.625" style="5" customWidth="1"/>
    <col min="6" max="16384" width="8.875" style="5"/>
  </cols>
  <sheetData>
    <row r="1" spans="1:5" ht="17.25">
      <c r="A1" s="8" t="s">
        <v>190</v>
      </c>
    </row>
    <row r="2" spans="1:5" ht="17.25">
      <c r="A2" s="8" t="s">
        <v>191</v>
      </c>
    </row>
    <row r="3" spans="1:5" ht="13.5">
      <c r="E3" s="3" t="s">
        <v>50</v>
      </c>
    </row>
    <row r="4" spans="1:5" ht="22.5" customHeight="1">
      <c r="A4" s="23" t="s">
        <v>1</v>
      </c>
      <c r="B4" s="23" t="s">
        <v>192</v>
      </c>
      <c r="C4" s="23" t="s">
        <v>193</v>
      </c>
      <c r="D4" s="23" t="s">
        <v>194</v>
      </c>
      <c r="E4" s="23" t="s">
        <v>195</v>
      </c>
    </row>
    <row r="5" spans="1:5" ht="18" customHeight="1">
      <c r="A5" s="80" t="s">
        <v>196</v>
      </c>
      <c r="B5" s="6" t="s">
        <v>197</v>
      </c>
      <c r="C5" s="6" t="s">
        <v>198</v>
      </c>
      <c r="D5" s="25">
        <v>257238978</v>
      </c>
      <c r="E5" s="6" t="s">
        <v>199</v>
      </c>
    </row>
    <row r="6" spans="1:5" ht="18" customHeight="1">
      <c r="A6" s="80"/>
      <c r="B6" s="6" t="s">
        <v>200</v>
      </c>
      <c r="C6" s="6" t="s">
        <v>201</v>
      </c>
      <c r="D6" s="25">
        <v>168643635</v>
      </c>
      <c r="E6" s="6" t="s">
        <v>202</v>
      </c>
    </row>
    <row r="7" spans="1:5" ht="18" customHeight="1">
      <c r="A7" s="81"/>
      <c r="B7" s="6" t="s">
        <v>203</v>
      </c>
      <c r="C7" s="6"/>
      <c r="D7" s="25">
        <f>+D8-D5-D6</f>
        <v>747771235</v>
      </c>
      <c r="E7" s="11" t="s">
        <v>204</v>
      </c>
    </row>
    <row r="8" spans="1:5" ht="18" customHeight="1">
      <c r="A8" s="82"/>
      <c r="B8" s="11" t="s">
        <v>205</v>
      </c>
      <c r="C8" s="83"/>
      <c r="D8" s="12">
        <v>1173653848</v>
      </c>
      <c r="E8" s="83"/>
    </row>
    <row r="9" spans="1:5" ht="18" customHeight="1">
      <c r="A9" s="81" t="s">
        <v>206</v>
      </c>
      <c r="B9" s="6" t="s">
        <v>207</v>
      </c>
      <c r="C9" s="6" t="s">
        <v>208</v>
      </c>
      <c r="D9" s="25">
        <v>1025827000</v>
      </c>
      <c r="E9" s="6" t="s">
        <v>209</v>
      </c>
    </row>
    <row r="10" spans="1:5" ht="18" customHeight="1">
      <c r="A10" s="81"/>
      <c r="B10" s="6" t="s">
        <v>210</v>
      </c>
      <c r="C10" s="6" t="s">
        <v>211</v>
      </c>
      <c r="D10" s="25">
        <v>82383839</v>
      </c>
      <c r="E10" s="6" t="s">
        <v>212</v>
      </c>
    </row>
    <row r="11" spans="1:5" ht="18" customHeight="1">
      <c r="A11" s="81"/>
      <c r="B11" s="6" t="s">
        <v>203</v>
      </c>
      <c r="C11" s="11" t="s">
        <v>213</v>
      </c>
      <c r="D11" s="84">
        <f>+D12-D9-D10</f>
        <v>2261265463</v>
      </c>
      <c r="E11" s="11" t="s">
        <v>213</v>
      </c>
    </row>
    <row r="12" spans="1:5" ht="18" customHeight="1">
      <c r="A12" s="82"/>
      <c r="B12" s="11" t="s">
        <v>205</v>
      </c>
      <c r="C12" s="83"/>
      <c r="D12" s="84">
        <f>+D13-D8</f>
        <v>3369476302</v>
      </c>
      <c r="E12" s="83"/>
    </row>
    <row r="13" spans="1:5" ht="18" customHeight="1">
      <c r="A13" s="11" t="s">
        <v>39</v>
      </c>
      <c r="B13" s="83"/>
      <c r="C13" s="83"/>
      <c r="D13" s="20">
        <v>4543130150</v>
      </c>
      <c r="E13" s="85"/>
    </row>
  </sheetData>
  <mergeCells count="2">
    <mergeCell ref="A5:A8"/>
    <mergeCell ref="A9:A12"/>
  </mergeCells>
  <phoneticPr fontId="4"/>
  <pageMargins left="0.59055118110236227" right="0.39370078740157483" top="1.1811023622047245" bottom="0.39370078740157483" header="0.19685039370078741" footer="0.19685039370078741"/>
  <pageSetup paperSize="9" orientation="landscape" r:id="rId1"/>
  <headerFooter>
    <oddHeader>&amp;R&amp;9&amp;D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2" sqref="A2"/>
    </sheetView>
  </sheetViews>
  <sheetFormatPr defaultColWidth="8.875" defaultRowHeight="11.2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s="8" customFormat="1" ht="17.25">
      <c r="A1" s="8" t="s">
        <v>214</v>
      </c>
    </row>
    <row r="2" spans="1:5" s="8" customFormat="1" ht="17.25">
      <c r="A2" s="8" t="s">
        <v>215</v>
      </c>
    </row>
    <row r="3" spans="1:5" ht="13.5">
      <c r="E3" s="3" t="s">
        <v>50</v>
      </c>
    </row>
    <row r="4" spans="1:5" ht="22.5" customHeight="1">
      <c r="A4" s="23" t="s">
        <v>216</v>
      </c>
      <c r="B4" s="23" t="s">
        <v>1</v>
      </c>
      <c r="C4" s="50" t="s">
        <v>217</v>
      </c>
      <c r="D4" s="50"/>
      <c r="E4" s="23" t="s">
        <v>194</v>
      </c>
    </row>
    <row r="5" spans="1:5" ht="18" customHeight="1">
      <c r="A5" s="82" t="s">
        <v>218</v>
      </c>
      <c r="B5" s="82" t="s">
        <v>219</v>
      </c>
      <c r="C5" s="81" t="s">
        <v>220</v>
      </c>
      <c r="D5" s="86"/>
      <c r="E5" s="25">
        <v>23165089847</v>
      </c>
    </row>
    <row r="6" spans="1:5" ht="18" customHeight="1">
      <c r="A6" s="82"/>
      <c r="B6" s="82"/>
      <c r="C6" s="81" t="s">
        <v>221</v>
      </c>
      <c r="D6" s="86"/>
      <c r="E6" s="25">
        <v>2436076000</v>
      </c>
    </row>
    <row r="7" spans="1:5" ht="18" customHeight="1">
      <c r="A7" s="82"/>
      <c r="B7" s="82"/>
      <c r="C7" s="81" t="s">
        <v>222</v>
      </c>
      <c r="D7" s="86"/>
      <c r="E7" s="25">
        <v>335376000</v>
      </c>
    </row>
    <row r="8" spans="1:5" ht="18" customHeight="1">
      <c r="A8" s="82"/>
      <c r="B8" s="82"/>
      <c r="C8" s="81" t="s">
        <v>223</v>
      </c>
      <c r="D8" s="86"/>
      <c r="E8" s="87">
        <f>+E9-E5-E6-E7</f>
        <v>4173381933</v>
      </c>
    </row>
    <row r="9" spans="1:5" ht="18" customHeight="1">
      <c r="A9" s="82"/>
      <c r="B9" s="82"/>
      <c r="C9" s="82" t="s">
        <v>120</v>
      </c>
      <c r="D9" s="86"/>
      <c r="E9" s="12">
        <v>30109923780</v>
      </c>
    </row>
    <row r="10" spans="1:5" ht="18" customHeight="1">
      <c r="A10" s="82"/>
      <c r="B10" s="82" t="s">
        <v>224</v>
      </c>
      <c r="C10" s="88" t="s">
        <v>225</v>
      </c>
      <c r="D10" s="6" t="s">
        <v>226</v>
      </c>
      <c r="E10" s="25">
        <v>436953000</v>
      </c>
    </row>
    <row r="11" spans="1:5" ht="18" customHeight="1">
      <c r="A11" s="82"/>
      <c r="B11" s="82"/>
      <c r="C11" s="82"/>
      <c r="D11" s="6" t="s">
        <v>227</v>
      </c>
      <c r="E11" s="25">
        <v>410708000</v>
      </c>
    </row>
    <row r="12" spans="1:5" ht="18" customHeight="1">
      <c r="A12" s="82"/>
      <c r="B12" s="82"/>
      <c r="C12" s="82"/>
      <c r="D12" s="11" t="s">
        <v>205</v>
      </c>
      <c r="E12" s="89">
        <f>+SUM(E10:E11)</f>
        <v>847661000</v>
      </c>
    </row>
    <row r="13" spans="1:5" ht="18" customHeight="1">
      <c r="A13" s="82"/>
      <c r="B13" s="82"/>
      <c r="C13" s="88" t="s">
        <v>228</v>
      </c>
      <c r="D13" s="6" t="s">
        <v>226</v>
      </c>
      <c r="E13" s="25">
        <v>7536798470</v>
      </c>
    </row>
    <row r="14" spans="1:5" ht="18" customHeight="1">
      <c r="A14" s="82"/>
      <c r="B14" s="82"/>
      <c r="C14" s="82"/>
      <c r="D14" s="6" t="s">
        <v>227</v>
      </c>
      <c r="E14" s="25">
        <v>3360866201</v>
      </c>
    </row>
    <row r="15" spans="1:5" ht="18" customHeight="1">
      <c r="A15" s="82"/>
      <c r="B15" s="82"/>
      <c r="C15" s="82"/>
      <c r="D15" s="11" t="s">
        <v>205</v>
      </c>
      <c r="E15" s="89">
        <f>+SUM(E13:E14)</f>
        <v>10897664671</v>
      </c>
    </row>
    <row r="16" spans="1:5" ht="18" customHeight="1">
      <c r="A16" s="86"/>
      <c r="B16" s="86"/>
      <c r="C16" s="82" t="s">
        <v>120</v>
      </c>
      <c r="D16" s="86"/>
      <c r="E16" s="89">
        <f>+E12+E15</f>
        <v>11745325671</v>
      </c>
    </row>
    <row r="17" spans="1:5" ht="18" customHeight="1">
      <c r="A17" s="86"/>
      <c r="B17" s="82" t="s">
        <v>39</v>
      </c>
      <c r="C17" s="86"/>
      <c r="D17" s="86"/>
      <c r="E17" s="89">
        <f>+E9+E16</f>
        <v>41855249451</v>
      </c>
    </row>
  </sheetData>
  <mergeCells count="13">
    <mergeCell ref="C13:C15"/>
    <mergeCell ref="C16:D16"/>
    <mergeCell ref="B17:D17"/>
    <mergeCell ref="C4:D4"/>
    <mergeCell ref="A5:A17"/>
    <mergeCell ref="B5:B9"/>
    <mergeCell ref="C5:D5"/>
    <mergeCell ref="C6:D6"/>
    <mergeCell ref="C7:D7"/>
    <mergeCell ref="C8:D8"/>
    <mergeCell ref="C9:D9"/>
    <mergeCell ref="B10:B16"/>
    <mergeCell ref="C10:C12"/>
  </mergeCells>
  <phoneticPr fontId="4"/>
  <pageMargins left="0.39370078740157483" right="0.39370078740157483" top="1.1811023622047245" bottom="0.39370078740157483" header="0.19685039370078741" footer="0.19685039370078741"/>
  <pageSetup paperSize="9" scale="96" fitToHeight="0" orientation="landscape" r:id="rId1"/>
  <headerFooter>
    <oddHeader>&amp;R&amp;9&amp;D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A3" sqref="A3:A5"/>
    </sheetView>
  </sheetViews>
  <sheetFormatPr defaultColWidth="8.875" defaultRowHeight="20.25" customHeight="1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>
      <c r="A1" s="18" t="s">
        <v>229</v>
      </c>
      <c r="B1" s="18"/>
      <c r="C1" s="18"/>
      <c r="D1" s="18"/>
      <c r="E1" s="18"/>
      <c r="F1" s="18"/>
    </row>
    <row r="2" spans="1:6" ht="20.25" customHeight="1">
      <c r="A2" s="90"/>
      <c r="B2" s="90"/>
      <c r="C2" s="90"/>
      <c r="D2" s="90"/>
      <c r="E2" s="90"/>
      <c r="F2" s="91" t="s">
        <v>0</v>
      </c>
    </row>
    <row r="3" spans="1:6" ht="20.25" customHeight="1">
      <c r="A3" s="92" t="s">
        <v>1</v>
      </c>
      <c r="B3" s="93" t="s">
        <v>194</v>
      </c>
      <c r="C3" s="93" t="s">
        <v>230</v>
      </c>
      <c r="D3" s="93"/>
      <c r="E3" s="93"/>
      <c r="F3" s="93"/>
    </row>
    <row r="4" spans="1:6" ht="20.25" customHeight="1">
      <c r="A4" s="92"/>
      <c r="B4" s="93"/>
      <c r="C4" s="93" t="s">
        <v>224</v>
      </c>
      <c r="D4" s="93" t="s">
        <v>231</v>
      </c>
      <c r="E4" s="93" t="s">
        <v>219</v>
      </c>
      <c r="F4" s="93" t="s">
        <v>95</v>
      </c>
    </row>
    <row r="5" spans="1:6" ht="20.25" customHeight="1" thickBot="1">
      <c r="A5" s="94"/>
      <c r="B5" s="95"/>
      <c r="C5" s="95"/>
      <c r="D5" s="95"/>
      <c r="E5" s="95"/>
      <c r="F5" s="95"/>
    </row>
    <row r="6" spans="1:6" ht="20.25" customHeight="1" thickTop="1">
      <c r="A6" s="96" t="s">
        <v>232</v>
      </c>
      <c r="B6" s="97">
        <v>42607682480</v>
      </c>
      <c r="C6" s="97">
        <f>C10-(C7+C8)</f>
        <v>9781888929</v>
      </c>
      <c r="D6" s="97">
        <f>D10-(D7+D8)</f>
        <v>2200000000</v>
      </c>
      <c r="E6" s="97">
        <f>B6-(C6+D6+F6)</f>
        <v>26332138604</v>
      </c>
      <c r="F6" s="98">
        <v>4293654947</v>
      </c>
    </row>
    <row r="7" spans="1:6" ht="20.25" customHeight="1">
      <c r="A7" s="96" t="s">
        <v>233</v>
      </c>
      <c r="B7" s="97">
        <v>3225360391</v>
      </c>
      <c r="C7" s="97">
        <v>847661000</v>
      </c>
      <c r="D7" s="98">
        <v>1050200000</v>
      </c>
      <c r="E7" s="97">
        <f t="shared" ref="E7:E8" si="0">B7-(C7+D7+F7)</f>
        <v>1133897288</v>
      </c>
      <c r="F7" s="97">
        <v>193602103</v>
      </c>
    </row>
    <row r="8" spans="1:6" ht="20.25" customHeight="1">
      <c r="A8" s="96" t="s">
        <v>234</v>
      </c>
      <c r="B8" s="97">
        <v>2547597369</v>
      </c>
      <c r="C8" s="97">
        <v>1115775742</v>
      </c>
      <c r="D8" s="98"/>
      <c r="E8" s="97">
        <f t="shared" si="0"/>
        <v>1431821627</v>
      </c>
      <c r="F8" s="97"/>
    </row>
    <row r="9" spans="1:6" ht="20.25" customHeight="1">
      <c r="A9" s="96" t="s">
        <v>95</v>
      </c>
      <c r="B9" s="97"/>
      <c r="C9" s="97"/>
      <c r="D9" s="97"/>
      <c r="E9" s="97"/>
      <c r="F9" s="97"/>
    </row>
    <row r="10" spans="1:6" ht="20.25" customHeight="1">
      <c r="A10" s="99" t="s">
        <v>39</v>
      </c>
      <c r="B10" s="97">
        <f>SUM(B6:B9)</f>
        <v>48380640240</v>
      </c>
      <c r="C10" s="97">
        <v>11745325671</v>
      </c>
      <c r="D10" s="97">
        <v>3250200000</v>
      </c>
      <c r="E10" s="97">
        <f>SUM(E6:E9)</f>
        <v>28897857519</v>
      </c>
      <c r="F10" s="97">
        <f>SUM(F6:F9)</f>
        <v>4487257050</v>
      </c>
    </row>
  </sheetData>
  <mergeCells count="8">
    <mergeCell ref="A1:F1"/>
    <mergeCell ref="A3:A5"/>
    <mergeCell ref="B3:B5"/>
    <mergeCell ref="C3:F3"/>
    <mergeCell ref="C4:C5"/>
    <mergeCell ref="D4:D5"/>
    <mergeCell ref="E4:E5"/>
    <mergeCell ref="F4:F5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A2" sqref="A2"/>
    </sheetView>
  </sheetViews>
  <sheetFormatPr defaultColWidth="8.875" defaultRowHeight="11.25"/>
  <cols>
    <col min="1" max="1" width="44" style="5" customWidth="1"/>
    <col min="2" max="2" width="40.875" style="5" customWidth="1"/>
    <col min="3" max="16384" width="8.875" style="5"/>
  </cols>
  <sheetData>
    <row r="1" spans="1:2" s="8" customFormat="1" ht="17.25">
      <c r="A1" s="8" t="s">
        <v>235</v>
      </c>
    </row>
    <row r="2" spans="1:2" s="8" customFormat="1" ht="17.25">
      <c r="A2" s="8" t="s">
        <v>236</v>
      </c>
    </row>
    <row r="3" spans="1:2" ht="13.5">
      <c r="B3" s="3" t="s">
        <v>50</v>
      </c>
    </row>
    <row r="4" spans="1:2" ht="22.5" customHeight="1">
      <c r="A4" s="23" t="s">
        <v>91</v>
      </c>
      <c r="B4" s="23" t="s">
        <v>184</v>
      </c>
    </row>
    <row r="5" spans="1:2" ht="18" customHeight="1">
      <c r="A5" s="6" t="s">
        <v>237</v>
      </c>
      <c r="B5" s="25"/>
    </row>
    <row r="6" spans="1:2" ht="18" customHeight="1">
      <c r="A6" s="6" t="s">
        <v>238</v>
      </c>
      <c r="B6" s="84">
        <v>1934400349</v>
      </c>
    </row>
    <row r="7" spans="1:2" ht="18" customHeight="1">
      <c r="A7" s="6" t="s">
        <v>239</v>
      </c>
      <c r="B7" s="25"/>
    </row>
    <row r="8" spans="1:2" ht="18" customHeight="1">
      <c r="A8" s="11" t="s">
        <v>39</v>
      </c>
      <c r="B8" s="84">
        <v>1934400349</v>
      </c>
    </row>
  </sheetData>
  <phoneticPr fontId="4"/>
  <pageMargins left="0.78740157480314965" right="0.39370078740157483" top="1.1811023622047245" bottom="0.39370078740157483" header="0.19685039370078741" footer="0.19685039370078741"/>
  <pageSetup paperSize="9" fitToHeight="0" orientation="landscape" r:id="rId1"/>
  <headerFooter>
    <oddHeader>&amp;R&amp;9&amp;D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"/>
    </sheetView>
  </sheetViews>
  <sheetFormatPr defaultColWidth="8.875" defaultRowHeight="11.25"/>
  <cols>
    <col min="1" max="1" width="30.875" style="5" customWidth="1"/>
    <col min="2" max="11" width="15.875" style="5" customWidth="1"/>
    <col min="12" max="16384" width="8.875" style="5"/>
  </cols>
  <sheetData>
    <row r="1" spans="1:9" ht="17.25">
      <c r="A1" s="18" t="s">
        <v>31</v>
      </c>
      <c r="B1" s="18"/>
      <c r="C1" s="18"/>
      <c r="D1" s="18"/>
      <c r="E1" s="18"/>
      <c r="F1" s="18"/>
      <c r="G1" s="18"/>
      <c r="H1" s="18"/>
      <c r="I1" s="18"/>
    </row>
    <row r="2" spans="1:9" ht="13.5">
      <c r="A2" s="1"/>
      <c r="B2" s="1"/>
      <c r="C2" s="1"/>
      <c r="D2" s="1"/>
      <c r="E2" s="1"/>
      <c r="F2" s="1"/>
      <c r="G2" s="1"/>
      <c r="H2" s="1"/>
      <c r="I2" s="3" t="s">
        <v>0</v>
      </c>
    </row>
    <row r="3" spans="1:9" ht="22.5">
      <c r="A3" s="4" t="s">
        <v>1</v>
      </c>
      <c r="B3" s="2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</row>
    <row r="4" spans="1:9">
      <c r="A4" s="6" t="s">
        <v>40</v>
      </c>
      <c r="B4" s="12">
        <f t="shared" ref="B4:H4" si="0">SUM(B5:B13)</f>
        <v>6431641572</v>
      </c>
      <c r="C4" s="12">
        <f t="shared" si="0"/>
        <v>51904649096</v>
      </c>
      <c r="D4" s="12">
        <f t="shared" si="0"/>
        <v>7962002223</v>
      </c>
      <c r="E4" s="12">
        <f t="shared" si="0"/>
        <v>2169546385</v>
      </c>
      <c r="F4" s="12">
        <f t="shared" si="0"/>
        <v>5141452026</v>
      </c>
      <c r="G4" s="12">
        <f t="shared" si="0"/>
        <v>4289814111</v>
      </c>
      <c r="H4" s="12">
        <f t="shared" si="0"/>
        <v>8724656263</v>
      </c>
      <c r="I4" s="12">
        <f>SUM(B4:H4)</f>
        <v>86623761676</v>
      </c>
    </row>
    <row r="5" spans="1:9">
      <c r="A5" s="19" t="s">
        <v>16</v>
      </c>
      <c r="B5" s="20">
        <f>4855523992+569049-165827</f>
        <v>4855927214</v>
      </c>
      <c r="C5" s="20">
        <f>33813807995+1778700-1778700</f>
        <v>33813807995</v>
      </c>
      <c r="D5" s="20">
        <f>4433804195</f>
        <v>4433804195</v>
      </c>
      <c r="E5" s="20">
        <f>1170380286+4840480</f>
        <v>1175220766</v>
      </c>
      <c r="F5" s="20">
        <f>4527790197+10260650</f>
        <v>4538050847</v>
      </c>
      <c r="G5" s="20">
        <f>1093586340+584000</f>
        <v>1094170340</v>
      </c>
      <c r="H5" s="20">
        <f>6253324420+328309385-217242305</f>
        <v>6364391500</v>
      </c>
      <c r="I5" s="20">
        <f>SUM(B5:H5)</f>
        <v>56275372857</v>
      </c>
    </row>
    <row r="6" spans="1:9">
      <c r="A6" s="6" t="s">
        <v>17</v>
      </c>
      <c r="B6" s="12"/>
      <c r="C6" s="12"/>
      <c r="D6" s="12"/>
      <c r="E6" s="12"/>
      <c r="F6" s="12"/>
      <c r="G6" s="12"/>
      <c r="H6" s="12"/>
      <c r="I6" s="12">
        <v>0</v>
      </c>
    </row>
    <row r="7" spans="1:9">
      <c r="A7" s="6" t="s">
        <v>18</v>
      </c>
      <c r="B7" s="12">
        <f>2874662590+194827606-1611333923</f>
        <v>1458156273</v>
      </c>
      <c r="C7" s="12">
        <f>45198034044+188365377-28487807058</f>
        <v>16898592363</v>
      </c>
      <c r="D7" s="12">
        <f>6400031943+3466148-2882934163</f>
        <v>3520563928</v>
      </c>
      <c r="E7" s="12">
        <f>1250201848+31952880-310927428</f>
        <v>971227300</v>
      </c>
      <c r="F7" s="12">
        <f>1009105665+7299720-435139250</f>
        <v>581266135</v>
      </c>
      <c r="G7" s="12">
        <f>1693034633+58440582-8209200-844398923</f>
        <v>898867092</v>
      </c>
      <c r="H7" s="12">
        <f>4312975214+941647806-3160734702</f>
        <v>2093888318</v>
      </c>
      <c r="I7" s="12">
        <f t="shared" ref="I7:I8" si="1">SUM(B7:H7)</f>
        <v>26422561409</v>
      </c>
    </row>
    <row r="8" spans="1:9">
      <c r="A8" s="6" t="s">
        <v>41</v>
      </c>
      <c r="B8" s="12">
        <f>16234560+31277286-1623456</f>
        <v>45888390</v>
      </c>
      <c r="C8" s="12">
        <f>2612059779+30119745-1479139077</f>
        <v>1163040447</v>
      </c>
      <c r="D8" s="12">
        <f>9949284+669600-2984784</f>
        <v>7634100</v>
      </c>
      <c r="E8" s="12">
        <f>23388794+0-290475</f>
        <v>23098319</v>
      </c>
      <c r="F8" s="12">
        <f>35537238+2469636-15871830</f>
        <v>22135044</v>
      </c>
      <c r="G8" s="12">
        <f>8686279841+34879330-24120000-6613422108</f>
        <v>2083617063</v>
      </c>
      <c r="H8" s="12">
        <f>37481240+883440-20199143</f>
        <v>18165537</v>
      </c>
      <c r="I8" s="12">
        <f t="shared" si="1"/>
        <v>3363578900</v>
      </c>
    </row>
    <row r="9" spans="1:9">
      <c r="A9" s="6" t="s">
        <v>42</v>
      </c>
      <c r="B9" s="12"/>
      <c r="C9" s="12"/>
      <c r="D9" s="12"/>
      <c r="E9" s="12"/>
      <c r="F9" s="12"/>
      <c r="G9" s="12"/>
      <c r="H9" s="12"/>
      <c r="I9" s="12">
        <v>0</v>
      </c>
    </row>
    <row r="10" spans="1:9">
      <c r="A10" s="6" t="s">
        <v>43</v>
      </c>
      <c r="B10" s="12"/>
      <c r="C10" s="12"/>
      <c r="D10" s="12"/>
      <c r="E10" s="12"/>
      <c r="F10" s="12"/>
      <c r="G10" s="12"/>
      <c r="H10" s="12"/>
      <c r="I10" s="12">
        <v>0</v>
      </c>
    </row>
    <row r="11" spans="1:9">
      <c r="A11" s="6" t="s">
        <v>22</v>
      </c>
      <c r="B11" s="12"/>
      <c r="C11" s="12"/>
      <c r="D11" s="12"/>
      <c r="E11" s="12"/>
      <c r="F11" s="12"/>
      <c r="G11" s="12"/>
      <c r="H11" s="12"/>
      <c r="I11" s="12">
        <v>0</v>
      </c>
    </row>
    <row r="12" spans="1:9">
      <c r="A12" s="6" t="s">
        <v>44</v>
      </c>
      <c r="B12" s="12"/>
      <c r="C12" s="12"/>
      <c r="D12" s="12"/>
      <c r="E12" s="12"/>
      <c r="F12" s="12"/>
      <c r="G12" s="12"/>
      <c r="H12" s="12"/>
      <c r="I12" s="12">
        <v>0</v>
      </c>
    </row>
    <row r="13" spans="1:9">
      <c r="A13" s="6" t="s">
        <v>24</v>
      </c>
      <c r="B13" s="12">
        <v>71669695</v>
      </c>
      <c r="C13" s="12">
        <v>29208291</v>
      </c>
      <c r="D13" s="12"/>
      <c r="E13" s="12"/>
      <c r="F13" s="12"/>
      <c r="G13" s="12">
        <v>213159616</v>
      </c>
      <c r="H13" s="12">
        <v>248210908</v>
      </c>
      <c r="I13" s="12">
        <f>SUM(B13:H13)</f>
        <v>562248510</v>
      </c>
    </row>
    <row r="14" spans="1:9">
      <c r="A14" s="6" t="s">
        <v>25</v>
      </c>
      <c r="B14" s="12">
        <f>SUM(B15:B19)</f>
        <v>122937859731</v>
      </c>
      <c r="C14" s="12">
        <f t="shared" ref="C14:H14" si="2">SUM(C15:C19)</f>
        <v>983999</v>
      </c>
      <c r="D14" s="12"/>
      <c r="E14" s="12"/>
      <c r="F14" s="12">
        <f t="shared" si="2"/>
        <v>2619098653</v>
      </c>
      <c r="G14" s="12"/>
      <c r="H14" s="12">
        <f t="shared" si="2"/>
        <v>597444665</v>
      </c>
      <c r="I14" s="12">
        <f t="shared" ref="I14" si="3">SUM(B14:H14)</f>
        <v>126155387048</v>
      </c>
    </row>
    <row r="15" spans="1:9">
      <c r="A15" s="6" t="s">
        <v>45</v>
      </c>
      <c r="B15" s="12">
        <v>51692252066</v>
      </c>
      <c r="C15" s="12"/>
      <c r="D15" s="12"/>
      <c r="E15" s="12"/>
      <c r="F15" s="12">
        <v>288722087</v>
      </c>
      <c r="G15" s="12"/>
      <c r="H15" s="12">
        <v>491408374</v>
      </c>
      <c r="I15" s="12">
        <f>SUM(B15:H15)</f>
        <v>52472382527</v>
      </c>
    </row>
    <row r="16" spans="1:9">
      <c r="A16" s="6" t="s">
        <v>18</v>
      </c>
      <c r="B16" s="12">
        <v>298123786</v>
      </c>
      <c r="C16" s="12"/>
      <c r="D16" s="12"/>
      <c r="E16" s="12"/>
      <c r="F16" s="12"/>
      <c r="G16" s="12"/>
      <c r="H16" s="12"/>
      <c r="I16" s="12">
        <f>SUM(B16:H16)</f>
        <v>298123786</v>
      </c>
    </row>
    <row r="17" spans="1:9">
      <c r="A17" s="6" t="s">
        <v>46</v>
      </c>
      <c r="B17" s="12">
        <v>70928342279</v>
      </c>
      <c r="C17" s="12">
        <v>983999</v>
      </c>
      <c r="D17" s="12"/>
      <c r="E17" s="12"/>
      <c r="F17" s="12">
        <v>2330376566</v>
      </c>
      <c r="G17" s="12"/>
      <c r="H17" s="12">
        <v>17049691</v>
      </c>
      <c r="I17" s="12">
        <f>SUM(B17:H17)</f>
        <v>73276752535</v>
      </c>
    </row>
    <row r="18" spans="1:9">
      <c r="A18" s="6" t="s">
        <v>23</v>
      </c>
      <c r="B18" s="12"/>
      <c r="C18" s="12"/>
      <c r="D18" s="12"/>
      <c r="E18" s="12"/>
      <c r="F18" s="12"/>
      <c r="G18" s="12"/>
      <c r="H18" s="12"/>
      <c r="I18" s="12">
        <v>0</v>
      </c>
    </row>
    <row r="19" spans="1:9">
      <c r="A19" s="6" t="s">
        <v>24</v>
      </c>
      <c r="B19" s="12">
        <v>19141600</v>
      </c>
      <c r="C19" s="12"/>
      <c r="D19" s="12"/>
      <c r="E19" s="12"/>
      <c r="F19" s="12"/>
      <c r="G19" s="12"/>
      <c r="H19" s="12">
        <v>88986600</v>
      </c>
      <c r="I19" s="12">
        <f t="shared" ref="I19" si="4">SUM(B19:H19)</f>
        <v>108128200</v>
      </c>
    </row>
    <row r="20" spans="1:9">
      <c r="A20" s="19" t="s">
        <v>29</v>
      </c>
      <c r="B20" s="20">
        <f>10476430-1276170-8642875</f>
        <v>557385</v>
      </c>
      <c r="C20" s="20">
        <f>1814309985+7470360-313195793</f>
        <v>1508584552</v>
      </c>
      <c r="D20" s="20">
        <f>26814786-24293380</f>
        <v>2521406</v>
      </c>
      <c r="E20" s="20">
        <f>24359335-6372351</f>
        <v>17986984</v>
      </c>
      <c r="F20" s="20">
        <f>2597878-2597876</f>
        <v>2</v>
      </c>
      <c r="G20" s="20">
        <f>1734382622+174042288-165281050-1306102487</f>
        <v>437041373</v>
      </c>
      <c r="H20" s="20">
        <f>143229734-8153827-102530976</f>
        <v>32544931</v>
      </c>
      <c r="I20" s="20">
        <f>SUM(B20:H20)</f>
        <v>1999236633</v>
      </c>
    </row>
    <row r="21" spans="1:9">
      <c r="A21" s="11" t="s">
        <v>47</v>
      </c>
      <c r="B21" s="12">
        <f>B4+B14+B20</f>
        <v>129370058688</v>
      </c>
      <c r="C21" s="12">
        <f t="shared" ref="C21:H21" si="5">C4+C14+C20</f>
        <v>53414217647</v>
      </c>
      <c r="D21" s="12">
        <f t="shared" si="5"/>
        <v>7964523629</v>
      </c>
      <c r="E21" s="12">
        <f t="shared" si="5"/>
        <v>2187533369</v>
      </c>
      <c r="F21" s="12">
        <f t="shared" si="5"/>
        <v>7760550681</v>
      </c>
      <c r="G21" s="12">
        <f t="shared" si="5"/>
        <v>4726855484</v>
      </c>
      <c r="H21" s="12">
        <f t="shared" si="5"/>
        <v>9354645859</v>
      </c>
      <c r="I21" s="12">
        <f>SUM(B21:H21)</f>
        <v>214778385357</v>
      </c>
    </row>
  </sheetData>
  <mergeCells count="1">
    <mergeCell ref="A1:I1"/>
  </mergeCells>
  <phoneticPr fontId="4"/>
  <pageMargins left="0.39370078740157483" right="0.39370078740157483" top="1.1811023622047245" bottom="0.19685039370078741" header="0.19685039370078741" footer="0.19685039370078741"/>
  <pageSetup paperSize="9" scale="81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>
      <selection activeCell="A2" sqref="A2"/>
    </sheetView>
  </sheetViews>
  <sheetFormatPr defaultColWidth="8.875" defaultRowHeight="11.25"/>
  <cols>
    <col min="1" max="1" width="17.125" style="5" customWidth="1"/>
    <col min="2" max="11" width="15.375" style="5" customWidth="1"/>
    <col min="12" max="16384" width="8.875" style="5"/>
  </cols>
  <sheetData>
    <row r="1" spans="1:11" ht="17.25">
      <c r="A1" s="21" t="s">
        <v>48</v>
      </c>
    </row>
    <row r="2" spans="1:11" ht="13.5">
      <c r="A2" s="22"/>
      <c r="H2" s="3"/>
    </row>
    <row r="3" spans="1:11" ht="13.5">
      <c r="A3" s="1" t="s">
        <v>49</v>
      </c>
      <c r="H3" s="3" t="s">
        <v>50</v>
      </c>
    </row>
    <row r="4" spans="1:11" ht="37.5" customHeight="1">
      <c r="A4" s="23" t="s">
        <v>51</v>
      </c>
      <c r="B4" s="24" t="s">
        <v>52</v>
      </c>
      <c r="C4" s="24" t="s">
        <v>53</v>
      </c>
      <c r="D4" s="24" t="s">
        <v>54</v>
      </c>
      <c r="E4" s="24" t="s">
        <v>55</v>
      </c>
      <c r="F4" s="24" t="s">
        <v>56</v>
      </c>
      <c r="G4" s="24" t="s">
        <v>57</v>
      </c>
      <c r="H4" s="24" t="s">
        <v>58</v>
      </c>
    </row>
    <row r="5" spans="1:11" ht="18" customHeight="1">
      <c r="A5" s="6" t="s">
        <v>59</v>
      </c>
      <c r="B5" s="25"/>
      <c r="C5" s="25"/>
      <c r="D5" s="25"/>
      <c r="E5" s="25"/>
      <c r="F5" s="25"/>
      <c r="G5" s="25"/>
      <c r="H5" s="25"/>
    </row>
    <row r="7" spans="1:11" ht="13.5">
      <c r="A7" s="1" t="s">
        <v>60</v>
      </c>
      <c r="J7" s="3" t="s">
        <v>50</v>
      </c>
    </row>
    <row r="8" spans="1:11" ht="37.5" customHeight="1">
      <c r="A8" s="23" t="s">
        <v>61</v>
      </c>
      <c r="B8" s="24" t="s">
        <v>62</v>
      </c>
      <c r="C8" s="24" t="s">
        <v>63</v>
      </c>
      <c r="D8" s="24" t="s">
        <v>64</v>
      </c>
      <c r="E8" s="24" t="s">
        <v>65</v>
      </c>
      <c r="F8" s="24" t="s">
        <v>66</v>
      </c>
      <c r="G8" s="24" t="s">
        <v>67</v>
      </c>
      <c r="H8" s="24" t="s">
        <v>68</v>
      </c>
      <c r="I8" s="24" t="s">
        <v>69</v>
      </c>
      <c r="J8" s="24" t="s">
        <v>58</v>
      </c>
    </row>
    <row r="9" spans="1:11" ht="28.5" customHeight="1">
      <c r="A9" s="26" t="s">
        <v>70</v>
      </c>
      <c r="B9" s="27">
        <v>5000000</v>
      </c>
      <c r="C9" s="27">
        <v>318678813</v>
      </c>
      <c r="D9" s="28">
        <v>312916988</v>
      </c>
      <c r="E9" s="29">
        <f>C9-D9</f>
        <v>5761825</v>
      </c>
      <c r="F9" s="28">
        <v>5000000</v>
      </c>
      <c r="G9" s="30">
        <f>B9/F9</f>
        <v>1</v>
      </c>
      <c r="H9" s="31">
        <f>E9*G9</f>
        <v>5761825</v>
      </c>
      <c r="I9" s="32"/>
      <c r="J9" s="33">
        <v>5000000</v>
      </c>
    </row>
    <row r="10" spans="1:11" ht="18" customHeight="1">
      <c r="A10" s="26" t="s">
        <v>71</v>
      </c>
      <c r="B10" s="27">
        <v>5000000</v>
      </c>
      <c r="C10" s="27">
        <v>2123295597</v>
      </c>
      <c r="D10" s="28">
        <v>2197397299</v>
      </c>
      <c r="E10" s="29">
        <f t="shared" ref="E10:E11" si="0">C10-D10</f>
        <v>-74101702</v>
      </c>
      <c r="F10" s="28">
        <v>5000000</v>
      </c>
      <c r="G10" s="30">
        <f t="shared" ref="G10:G11" si="1">B10/F10</f>
        <v>1</v>
      </c>
      <c r="H10" s="31">
        <f>E10*G10</f>
        <v>-74101702</v>
      </c>
      <c r="I10" s="32">
        <v>5000000</v>
      </c>
      <c r="J10" s="33">
        <v>5000000</v>
      </c>
    </row>
    <row r="11" spans="1:11" ht="28.5" customHeight="1">
      <c r="A11" s="26" t="s">
        <v>72</v>
      </c>
      <c r="B11" s="27">
        <v>50000000</v>
      </c>
      <c r="C11" s="27">
        <v>87394817</v>
      </c>
      <c r="D11" s="28">
        <v>7010586</v>
      </c>
      <c r="E11" s="29">
        <f t="shared" si="0"/>
        <v>80384231</v>
      </c>
      <c r="F11" s="28">
        <v>50000000</v>
      </c>
      <c r="G11" s="30">
        <f t="shared" si="1"/>
        <v>1</v>
      </c>
      <c r="H11" s="31">
        <f t="shared" ref="H11" si="2">E11*G11</f>
        <v>80384231</v>
      </c>
      <c r="I11" s="32"/>
      <c r="J11" s="33">
        <v>50000000</v>
      </c>
    </row>
    <row r="12" spans="1:11" ht="18" customHeight="1">
      <c r="A12" s="34" t="s">
        <v>39</v>
      </c>
      <c r="B12" s="35">
        <f>+SUM(B9:B11)</f>
        <v>60000000</v>
      </c>
      <c r="C12" s="35">
        <f>+SUM(C9:C11)</f>
        <v>2529369227</v>
      </c>
      <c r="D12" s="35">
        <f t="shared" ref="D12:J12" si="3">+SUM(D9:D11)</f>
        <v>2517324873</v>
      </c>
      <c r="E12" s="35">
        <f t="shared" si="3"/>
        <v>12044354</v>
      </c>
      <c r="F12" s="35">
        <f t="shared" si="3"/>
        <v>60000000</v>
      </c>
      <c r="G12" s="36"/>
      <c r="H12" s="35">
        <f t="shared" si="3"/>
        <v>12044354</v>
      </c>
      <c r="I12" s="35">
        <f t="shared" si="3"/>
        <v>5000000</v>
      </c>
      <c r="J12" s="35">
        <f t="shared" si="3"/>
        <v>60000000</v>
      </c>
    </row>
    <row r="14" spans="1:11" ht="13.5">
      <c r="A14" s="1" t="s">
        <v>73</v>
      </c>
      <c r="K14" s="3" t="s">
        <v>50</v>
      </c>
    </row>
    <row r="15" spans="1:11" ht="37.5" customHeight="1">
      <c r="A15" s="23" t="s">
        <v>61</v>
      </c>
      <c r="B15" s="24" t="s">
        <v>74</v>
      </c>
      <c r="C15" s="24" t="s">
        <v>63</v>
      </c>
      <c r="D15" s="24" t="s">
        <v>64</v>
      </c>
      <c r="E15" s="24" t="s">
        <v>65</v>
      </c>
      <c r="F15" s="24" t="s">
        <v>66</v>
      </c>
      <c r="G15" s="24" t="s">
        <v>67</v>
      </c>
      <c r="H15" s="24" t="s">
        <v>68</v>
      </c>
      <c r="I15" s="24" t="s">
        <v>75</v>
      </c>
      <c r="J15" s="24" t="s">
        <v>76</v>
      </c>
      <c r="K15" s="24" t="s">
        <v>58</v>
      </c>
    </row>
    <row r="16" spans="1:11" ht="18" customHeight="1">
      <c r="A16" s="26" t="s">
        <v>77</v>
      </c>
      <c r="B16" s="37">
        <v>45000</v>
      </c>
      <c r="C16" s="38">
        <v>224064940</v>
      </c>
      <c r="D16" s="39">
        <v>110684515</v>
      </c>
      <c r="E16" s="39">
        <f>+C16-D16</f>
        <v>113380425</v>
      </c>
      <c r="F16" s="39">
        <f t="shared" ref="F16:F23" si="4">+E16</f>
        <v>113380425</v>
      </c>
      <c r="G16" s="40">
        <f>+B16/F16</f>
        <v>3.9689390827384887E-4</v>
      </c>
      <c r="H16" s="39">
        <f>+E16*G16</f>
        <v>45000</v>
      </c>
      <c r="I16" s="37"/>
      <c r="J16" s="37">
        <v>45000</v>
      </c>
      <c r="K16" s="37">
        <v>45000</v>
      </c>
    </row>
    <row r="17" spans="1:11" ht="28.5" customHeight="1">
      <c r="A17" s="41" t="s">
        <v>78</v>
      </c>
      <c r="B17" s="37">
        <v>800000</v>
      </c>
      <c r="C17" s="38">
        <v>321395618</v>
      </c>
      <c r="D17" s="39">
        <v>214183654</v>
      </c>
      <c r="E17" s="39">
        <f t="shared" ref="E17:E26" si="5">+C17-D17</f>
        <v>107211964</v>
      </c>
      <c r="F17" s="39">
        <f t="shared" si="4"/>
        <v>107211964</v>
      </c>
      <c r="G17" s="40">
        <f t="shared" ref="G17:G26" si="6">+B17/F17</f>
        <v>7.4618537908698324E-3</v>
      </c>
      <c r="H17" s="39">
        <f t="shared" ref="H17:H26" si="7">+E17*G17</f>
        <v>800000</v>
      </c>
      <c r="I17" s="37"/>
      <c r="J17" s="37">
        <v>800000</v>
      </c>
      <c r="K17" s="37">
        <v>800000</v>
      </c>
    </row>
    <row r="18" spans="1:11" ht="28.5" customHeight="1">
      <c r="A18" s="41" t="s">
        <v>79</v>
      </c>
      <c r="B18" s="37">
        <v>1560000</v>
      </c>
      <c r="C18" s="38">
        <v>236145066933</v>
      </c>
      <c r="D18" s="39">
        <v>224905392829</v>
      </c>
      <c r="E18" s="39">
        <f t="shared" si="5"/>
        <v>11239674104</v>
      </c>
      <c r="F18" s="39">
        <f t="shared" si="4"/>
        <v>11239674104</v>
      </c>
      <c r="G18" s="40">
        <f t="shared" si="6"/>
        <v>1.3879405982463705E-4</v>
      </c>
      <c r="H18" s="39">
        <f t="shared" si="7"/>
        <v>1559999.9999999998</v>
      </c>
      <c r="I18" s="37"/>
      <c r="J18" s="37">
        <v>1560000</v>
      </c>
      <c r="K18" s="37">
        <v>1560000</v>
      </c>
    </row>
    <row r="19" spans="1:11" ht="28.5" customHeight="1">
      <c r="A19" s="41" t="s">
        <v>80</v>
      </c>
      <c r="B19" s="37">
        <v>41130000</v>
      </c>
      <c r="C19" s="38">
        <v>827411524741</v>
      </c>
      <c r="D19" s="39">
        <v>749982466099</v>
      </c>
      <c r="E19" s="39">
        <f t="shared" si="5"/>
        <v>77429058642</v>
      </c>
      <c r="F19" s="39">
        <f t="shared" si="4"/>
        <v>77429058642</v>
      </c>
      <c r="G19" s="40">
        <f t="shared" si="6"/>
        <v>5.3119591948247934E-4</v>
      </c>
      <c r="H19" s="39">
        <f t="shared" si="7"/>
        <v>41130000</v>
      </c>
      <c r="I19" s="37"/>
      <c r="J19" s="37">
        <v>41130000</v>
      </c>
      <c r="K19" s="37">
        <v>41130000</v>
      </c>
    </row>
    <row r="20" spans="1:11" ht="28.5" customHeight="1">
      <c r="A20" s="41" t="s">
        <v>81</v>
      </c>
      <c r="B20" s="37">
        <v>360000</v>
      </c>
      <c r="C20" s="38">
        <v>176385367</v>
      </c>
      <c r="D20" s="39">
        <v>90283926</v>
      </c>
      <c r="E20" s="39">
        <f t="shared" si="5"/>
        <v>86101441</v>
      </c>
      <c r="F20" s="39">
        <f t="shared" si="4"/>
        <v>86101441</v>
      </c>
      <c r="G20" s="40">
        <f>+B20/F20</f>
        <v>4.1811146923777963E-3</v>
      </c>
      <c r="H20" s="39">
        <f>+E20*G20</f>
        <v>360000</v>
      </c>
      <c r="I20" s="37"/>
      <c r="J20" s="37">
        <v>360000</v>
      </c>
      <c r="K20" s="37">
        <v>360000</v>
      </c>
    </row>
    <row r="21" spans="1:11" ht="28.5" customHeight="1">
      <c r="A21" s="41" t="s">
        <v>82</v>
      </c>
      <c r="B21" s="37">
        <v>1292000</v>
      </c>
      <c r="C21" s="38">
        <v>4680296007</v>
      </c>
      <c r="D21" s="39">
        <v>56551112</v>
      </c>
      <c r="E21" s="39">
        <f t="shared" si="5"/>
        <v>4623744895</v>
      </c>
      <c r="F21" s="39">
        <f t="shared" si="4"/>
        <v>4623744895</v>
      </c>
      <c r="G21" s="40">
        <f t="shared" si="6"/>
        <v>2.7942718063817402E-4</v>
      </c>
      <c r="H21" s="39">
        <f t="shared" si="7"/>
        <v>1292000</v>
      </c>
      <c r="I21" s="37"/>
      <c r="J21" s="37">
        <v>1292000</v>
      </c>
      <c r="K21" s="37">
        <v>1292000</v>
      </c>
    </row>
    <row r="22" spans="1:11" ht="28.5" customHeight="1">
      <c r="A22" s="41" t="s">
        <v>83</v>
      </c>
      <c r="B22" s="37">
        <v>2500000</v>
      </c>
      <c r="C22" s="38">
        <v>643156798</v>
      </c>
      <c r="D22" s="39">
        <v>563409645</v>
      </c>
      <c r="E22" s="39">
        <f t="shared" si="5"/>
        <v>79747153</v>
      </c>
      <c r="F22" s="39">
        <f>+E22</f>
        <v>79747153</v>
      </c>
      <c r="G22" s="40">
        <f t="shared" si="6"/>
        <v>3.1349081515173335E-2</v>
      </c>
      <c r="H22" s="39">
        <f t="shared" si="7"/>
        <v>2500000</v>
      </c>
      <c r="I22" s="37"/>
      <c r="J22" s="37">
        <v>2500000</v>
      </c>
      <c r="K22" s="37">
        <v>2500000</v>
      </c>
    </row>
    <row r="23" spans="1:11" ht="28.5" customHeight="1">
      <c r="A23" s="41" t="s">
        <v>84</v>
      </c>
      <c r="B23" s="37">
        <v>1000000</v>
      </c>
      <c r="C23" s="38">
        <v>1929987871</v>
      </c>
      <c r="D23" s="39">
        <v>322799527</v>
      </c>
      <c r="E23" s="39">
        <f t="shared" si="5"/>
        <v>1607188344</v>
      </c>
      <c r="F23" s="39">
        <f t="shared" si="4"/>
        <v>1607188344</v>
      </c>
      <c r="G23" s="40">
        <f t="shared" si="6"/>
        <v>6.2220461200656891E-4</v>
      </c>
      <c r="H23" s="39">
        <f t="shared" si="7"/>
        <v>1000000</v>
      </c>
      <c r="I23" s="37"/>
      <c r="J23" s="37">
        <v>1000000</v>
      </c>
      <c r="K23" s="37">
        <v>1000000</v>
      </c>
    </row>
    <row r="24" spans="1:11" ht="28.5" customHeight="1">
      <c r="A24" s="41" t="s">
        <v>85</v>
      </c>
      <c r="B24" s="37">
        <v>2400000</v>
      </c>
      <c r="C24" s="38">
        <v>966067923</v>
      </c>
      <c r="D24" s="39">
        <v>46748418</v>
      </c>
      <c r="E24" s="39">
        <f t="shared" si="5"/>
        <v>919319505</v>
      </c>
      <c r="F24" s="39">
        <f>+E24</f>
        <v>919319505</v>
      </c>
      <c r="G24" s="40">
        <f t="shared" si="6"/>
        <v>2.6106266504157334E-3</v>
      </c>
      <c r="H24" s="39">
        <f t="shared" si="7"/>
        <v>2400000</v>
      </c>
      <c r="I24" s="37"/>
      <c r="J24" s="37">
        <v>2400000</v>
      </c>
      <c r="K24" s="37">
        <v>2400000</v>
      </c>
    </row>
    <row r="25" spans="1:11" ht="28.5" customHeight="1">
      <c r="A25" s="41" t="s">
        <v>86</v>
      </c>
      <c r="B25" s="37">
        <v>400000</v>
      </c>
      <c r="C25" s="38">
        <v>3191461597</v>
      </c>
      <c r="D25" s="39">
        <v>737257831</v>
      </c>
      <c r="E25" s="39">
        <f t="shared" si="5"/>
        <v>2454203766</v>
      </c>
      <c r="F25" s="39">
        <f>+E25</f>
        <v>2454203766</v>
      </c>
      <c r="G25" s="40">
        <f t="shared" si="6"/>
        <v>1.6298565161601989E-4</v>
      </c>
      <c r="H25" s="39">
        <f t="shared" si="7"/>
        <v>400000</v>
      </c>
      <c r="I25" s="37"/>
      <c r="J25" s="37">
        <v>400000</v>
      </c>
      <c r="K25" s="37">
        <v>400000</v>
      </c>
    </row>
    <row r="26" spans="1:11" ht="28.5" customHeight="1">
      <c r="A26" s="41" t="s">
        <v>87</v>
      </c>
      <c r="B26" s="37">
        <v>4000000</v>
      </c>
      <c r="C26" s="38">
        <v>515064582</v>
      </c>
      <c r="D26" s="39">
        <v>766527</v>
      </c>
      <c r="E26" s="39">
        <f t="shared" si="5"/>
        <v>514298055</v>
      </c>
      <c r="F26" s="39">
        <f>+E26</f>
        <v>514298055</v>
      </c>
      <c r="G26" s="40">
        <f t="shared" si="6"/>
        <v>7.7775911479968556E-3</v>
      </c>
      <c r="H26" s="39">
        <f t="shared" si="7"/>
        <v>4000000</v>
      </c>
      <c r="I26" s="37"/>
      <c r="J26" s="37">
        <v>4000000</v>
      </c>
      <c r="K26" s="37">
        <v>4000000</v>
      </c>
    </row>
    <row r="27" spans="1:11" ht="28.5" customHeight="1">
      <c r="A27" s="41" t="s">
        <v>88</v>
      </c>
      <c r="B27" s="37">
        <v>88000</v>
      </c>
      <c r="C27" s="38">
        <v>24589199000000</v>
      </c>
      <c r="D27" s="39">
        <v>24294008000000</v>
      </c>
      <c r="E27" s="39">
        <f>+C27-D27</f>
        <v>295191000000</v>
      </c>
      <c r="F27" s="39">
        <v>16602100000</v>
      </c>
      <c r="G27" s="40">
        <f>+B27/F27</f>
        <v>5.300534269761054E-6</v>
      </c>
      <c r="H27" s="39">
        <f>+E27*G27</f>
        <v>1564670.0116250352</v>
      </c>
      <c r="I27" s="37"/>
      <c r="J27" s="37">
        <v>88000</v>
      </c>
      <c r="K27" s="37">
        <v>88000</v>
      </c>
    </row>
    <row r="28" spans="1:11" ht="18" customHeight="1">
      <c r="A28" s="42" t="s">
        <v>89</v>
      </c>
      <c r="B28" s="37">
        <v>12750000</v>
      </c>
      <c r="C28" s="38">
        <v>23324929361</v>
      </c>
      <c r="D28" s="39">
        <v>17831311756</v>
      </c>
      <c r="E28" s="39">
        <f>+C28-D28</f>
        <v>5493617605</v>
      </c>
      <c r="F28" s="39">
        <v>3600000000</v>
      </c>
      <c r="G28" s="40">
        <f>+B28/F28</f>
        <v>3.5416666666666665E-3</v>
      </c>
      <c r="H28" s="39">
        <f>+E28*G28</f>
        <v>19456562.351041667</v>
      </c>
      <c r="I28" s="37"/>
      <c r="J28" s="37">
        <v>12750000</v>
      </c>
      <c r="K28" s="37">
        <v>12750000</v>
      </c>
    </row>
    <row r="29" spans="1:11" ht="18" customHeight="1">
      <c r="A29" s="34" t="s">
        <v>39</v>
      </c>
      <c r="B29" s="43">
        <f>+SUM(B16:B28)</f>
        <v>68325000</v>
      </c>
      <c r="C29" s="43">
        <f>+SUM(C16:C28)</f>
        <v>25688728401738</v>
      </c>
      <c r="D29" s="43">
        <f>+SUM(D16:D28)</f>
        <v>25288869855839</v>
      </c>
      <c r="E29" s="43">
        <f>+SUM(E16:E28)</f>
        <v>399858545899</v>
      </c>
      <c r="F29" s="43">
        <f>+SUM(F16:F28)</f>
        <v>119376028294</v>
      </c>
      <c r="G29" s="44"/>
      <c r="H29" s="43">
        <f>+SUM(H16:H28)</f>
        <v>76508232.362666696</v>
      </c>
      <c r="I29" s="44">
        <v>0</v>
      </c>
      <c r="J29" s="43">
        <f>+SUM(J16:J28)</f>
        <v>68325000</v>
      </c>
      <c r="K29" s="43">
        <f>+SUM(K16:K28)</f>
        <v>68325000</v>
      </c>
    </row>
  </sheetData>
  <phoneticPr fontId="4"/>
  <pageMargins left="0.59055118110236227" right="0.39370078740157483" top="1.1811023622047245" bottom="0.39370078740157483" header="0.19685039370078741" footer="0.19685039370078741"/>
  <pageSetup paperSize="9" scale="71" orientation="landscape" r:id="rId1"/>
  <headerFooter>
    <oddHeader>&amp;R&amp;9&amp;D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/>
  </sheetViews>
  <sheetFormatPr defaultColWidth="8.875" defaultRowHeight="11.25"/>
  <cols>
    <col min="1" max="1" width="25.5" style="5" customWidth="1"/>
    <col min="2" max="7" width="19.125" style="5" customWidth="1"/>
    <col min="8" max="16384" width="8.875" style="5"/>
  </cols>
  <sheetData>
    <row r="1" spans="1:7" ht="17.25">
      <c r="A1" s="45" t="s">
        <v>90</v>
      </c>
    </row>
    <row r="2" spans="1:7" ht="13.5">
      <c r="G2" s="3" t="s">
        <v>50</v>
      </c>
    </row>
    <row r="3" spans="1:7" ht="22.5" customHeight="1">
      <c r="A3" s="23" t="s">
        <v>91</v>
      </c>
      <c r="B3" s="23" t="s">
        <v>92</v>
      </c>
      <c r="C3" s="23" t="s">
        <v>93</v>
      </c>
      <c r="D3" s="23" t="s">
        <v>94</v>
      </c>
      <c r="E3" s="23" t="s">
        <v>95</v>
      </c>
      <c r="F3" s="24" t="s">
        <v>96</v>
      </c>
      <c r="G3" s="24" t="s">
        <v>58</v>
      </c>
    </row>
    <row r="4" spans="1:7" ht="18" customHeight="1">
      <c r="A4" s="46" t="s">
        <v>97</v>
      </c>
      <c r="B4" s="47">
        <v>2558126861</v>
      </c>
      <c r="C4" s="47">
        <v>22818500</v>
      </c>
      <c r="D4" s="47"/>
      <c r="E4" s="25"/>
      <c r="F4" s="47">
        <f>+SUM(B4:E4)</f>
        <v>2580945361</v>
      </c>
      <c r="G4" s="47">
        <v>2580945361</v>
      </c>
    </row>
    <row r="5" spans="1:7" ht="18" customHeight="1">
      <c r="A5" s="46" t="s">
        <v>98</v>
      </c>
      <c r="B5" s="47">
        <v>142223557</v>
      </c>
      <c r="C5" s="47"/>
      <c r="D5" s="47"/>
      <c r="E5" s="47"/>
      <c r="F5" s="47">
        <f t="shared" ref="F5:F14" si="0">+SUM(B5:E5)</f>
        <v>142223557</v>
      </c>
      <c r="G5" s="47">
        <v>142223557</v>
      </c>
    </row>
    <row r="6" spans="1:7" ht="18" customHeight="1">
      <c r="A6" s="46" t="s">
        <v>99</v>
      </c>
      <c r="B6" s="47">
        <v>253106758</v>
      </c>
      <c r="C6" s="47"/>
      <c r="D6" s="47"/>
      <c r="E6" s="47"/>
      <c r="F6" s="47">
        <f t="shared" si="0"/>
        <v>253106758</v>
      </c>
      <c r="G6" s="47">
        <v>253106758</v>
      </c>
    </row>
    <row r="7" spans="1:7" ht="18" customHeight="1">
      <c r="A7" s="46" t="s">
        <v>100</v>
      </c>
      <c r="B7" s="47">
        <v>373605591</v>
      </c>
      <c r="C7" s="47"/>
      <c r="D7" s="47"/>
      <c r="E7" s="47"/>
      <c r="F7" s="47">
        <f t="shared" si="0"/>
        <v>373605591</v>
      </c>
      <c r="G7" s="47">
        <v>373605591</v>
      </c>
    </row>
    <row r="8" spans="1:7" ht="18" customHeight="1">
      <c r="A8" s="46" t="s">
        <v>101</v>
      </c>
      <c r="B8" s="47">
        <v>27765510</v>
      </c>
      <c r="C8" s="47"/>
      <c r="D8" s="47"/>
      <c r="E8" s="47"/>
      <c r="F8" s="47">
        <f t="shared" si="0"/>
        <v>27765510</v>
      </c>
      <c r="G8" s="47">
        <v>27765510</v>
      </c>
    </row>
    <row r="9" spans="1:7" ht="18" customHeight="1">
      <c r="A9" s="46" t="s">
        <v>102</v>
      </c>
      <c r="B9" s="47">
        <v>66460422</v>
      </c>
      <c r="C9" s="47"/>
      <c r="D9" s="47"/>
      <c r="E9" s="47"/>
      <c r="F9" s="47">
        <f t="shared" si="0"/>
        <v>66460422</v>
      </c>
      <c r="G9" s="47">
        <v>66460422</v>
      </c>
    </row>
    <row r="10" spans="1:7" ht="18" customHeight="1">
      <c r="A10" s="46" t="s">
        <v>103</v>
      </c>
      <c r="B10" s="47">
        <v>8162150</v>
      </c>
      <c r="C10" s="47"/>
      <c r="D10" s="47"/>
      <c r="E10" s="47"/>
      <c r="F10" s="47">
        <f t="shared" si="0"/>
        <v>8162150</v>
      </c>
      <c r="G10" s="47">
        <v>8162150</v>
      </c>
    </row>
    <row r="11" spans="1:7" ht="18" customHeight="1">
      <c r="A11" s="46" t="s">
        <v>104</v>
      </c>
      <c r="B11" s="47">
        <v>1863505</v>
      </c>
      <c r="C11" s="47"/>
      <c r="D11" s="47"/>
      <c r="E11" s="47"/>
      <c r="F11" s="47">
        <f t="shared" si="0"/>
        <v>1863505</v>
      </c>
      <c r="G11" s="47">
        <v>1863505</v>
      </c>
    </row>
    <row r="12" spans="1:7" ht="18" customHeight="1">
      <c r="A12" s="46" t="s">
        <v>105</v>
      </c>
      <c r="B12" s="47">
        <v>955395</v>
      </c>
      <c r="C12" s="47"/>
      <c r="D12" s="47"/>
      <c r="E12" s="47"/>
      <c r="F12" s="47">
        <f t="shared" si="0"/>
        <v>955395</v>
      </c>
      <c r="G12" s="47">
        <v>955395</v>
      </c>
    </row>
    <row r="13" spans="1:7" ht="18" customHeight="1">
      <c r="A13" s="46" t="s">
        <v>106</v>
      </c>
      <c r="B13" s="47">
        <v>1925675</v>
      </c>
      <c r="C13" s="47"/>
      <c r="D13" s="47"/>
      <c r="E13" s="47"/>
      <c r="F13" s="47">
        <f t="shared" si="0"/>
        <v>1925675</v>
      </c>
      <c r="G13" s="48">
        <v>1925675</v>
      </c>
    </row>
    <row r="14" spans="1:7" ht="18" customHeight="1">
      <c r="A14" s="46" t="s">
        <v>107</v>
      </c>
      <c r="B14" s="47">
        <v>230773032</v>
      </c>
      <c r="C14" s="47"/>
      <c r="D14" s="47">
        <v>76226968</v>
      </c>
      <c r="E14" s="25"/>
      <c r="F14" s="47">
        <f t="shared" si="0"/>
        <v>307000000</v>
      </c>
      <c r="G14" s="47">
        <v>307000000</v>
      </c>
    </row>
    <row r="15" spans="1:7" ht="18" customHeight="1">
      <c r="A15" s="11" t="s">
        <v>39</v>
      </c>
      <c r="B15" s="25">
        <f>+SUM(B4:B14)</f>
        <v>3664968456</v>
      </c>
      <c r="C15" s="48">
        <f>+SUM(C4:C14)</f>
        <v>22818500</v>
      </c>
      <c r="D15" s="48">
        <f>+SUM(D4:D14)</f>
        <v>76226968</v>
      </c>
      <c r="E15" s="25">
        <v>0</v>
      </c>
      <c r="F15" s="48">
        <f>+SUM(B15:E15)</f>
        <v>3764013924</v>
      </c>
      <c r="G15" s="48">
        <f>+SUM(G4:G14)</f>
        <v>3764013924</v>
      </c>
    </row>
  </sheetData>
  <phoneticPr fontId="4"/>
  <pageMargins left="0.39370078740157483" right="0.39370078740157483" top="1.1811023622047245" bottom="0.39370078740157483" header="0.19685039370078741" footer="0.19685039370078741"/>
  <pageSetup paperSize="9" scale="91" fitToHeight="0" orientation="landscape" r:id="rId1"/>
  <headerFooter>
    <oddHeader>&amp;R&amp;9&amp;D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A2" sqref="A2"/>
    </sheetView>
  </sheetViews>
  <sheetFormatPr defaultColWidth="8.875" defaultRowHeight="11.25"/>
  <cols>
    <col min="1" max="1" width="30.875" style="5" customWidth="1"/>
    <col min="2" max="6" width="19.875" style="5" customWidth="1"/>
    <col min="7" max="16384" width="8.875" style="5"/>
  </cols>
  <sheetData>
    <row r="1" spans="1:6" ht="17.25">
      <c r="A1" s="49" t="s">
        <v>108</v>
      </c>
    </row>
    <row r="2" spans="1:6" ht="13.5">
      <c r="F2" s="3" t="s">
        <v>50</v>
      </c>
    </row>
    <row r="3" spans="1:6" ht="22.5" customHeight="1">
      <c r="A3" s="50" t="s">
        <v>109</v>
      </c>
      <c r="B3" s="50" t="s">
        <v>110</v>
      </c>
      <c r="C3" s="50"/>
      <c r="D3" s="50" t="s">
        <v>111</v>
      </c>
      <c r="E3" s="50"/>
      <c r="F3" s="51" t="s">
        <v>112</v>
      </c>
    </row>
    <row r="4" spans="1:6" ht="22.5" customHeight="1">
      <c r="A4" s="50"/>
      <c r="B4" s="23" t="s">
        <v>113</v>
      </c>
      <c r="C4" s="24" t="s">
        <v>114</v>
      </c>
      <c r="D4" s="23" t="s">
        <v>113</v>
      </c>
      <c r="E4" s="24" t="s">
        <v>114</v>
      </c>
      <c r="F4" s="50"/>
    </row>
    <row r="5" spans="1:6" ht="18" customHeight="1">
      <c r="A5" s="6" t="s">
        <v>115</v>
      </c>
      <c r="B5" s="25">
        <v>11603884</v>
      </c>
      <c r="C5" s="25"/>
      <c r="D5" s="25">
        <v>3253497</v>
      </c>
      <c r="E5" s="25"/>
      <c r="F5" s="25">
        <v>290672230</v>
      </c>
    </row>
    <row r="6" spans="1:6" ht="18" customHeight="1">
      <c r="A6" s="6" t="s">
        <v>116</v>
      </c>
      <c r="B6" s="25"/>
      <c r="C6" s="25"/>
      <c r="D6" s="25"/>
      <c r="E6" s="25"/>
      <c r="F6" s="25">
        <v>521000</v>
      </c>
    </row>
    <row r="7" spans="1:6" ht="18" customHeight="1">
      <c r="A7" s="11" t="s">
        <v>39</v>
      </c>
      <c r="B7" s="48">
        <f>+SUM(B5:B5)</f>
        <v>11603884</v>
      </c>
      <c r="C7" s="48">
        <f>+SUM(C5:C5)</f>
        <v>0</v>
      </c>
      <c r="D7" s="48">
        <f>+SUM(D5:D5)</f>
        <v>3253497</v>
      </c>
      <c r="E7" s="48">
        <f>+SUM(E5:E5)</f>
        <v>0</v>
      </c>
      <c r="F7" s="52">
        <f>+F5+F6</f>
        <v>291193230</v>
      </c>
    </row>
  </sheetData>
  <mergeCells count="4">
    <mergeCell ref="A3:A4"/>
    <mergeCell ref="B3:C3"/>
    <mergeCell ref="D3:E3"/>
    <mergeCell ref="F3:F4"/>
  </mergeCells>
  <phoneticPr fontId="4"/>
  <pageMargins left="0.39370078740157483" right="0.39370078740157483" top="1.1811023622047245" bottom="0.39370078740157483" header="0.19685039370078741" footer="0.19685039370078741"/>
  <pageSetup paperSize="9" scale="98" fitToHeight="0" orientation="landscape" r:id="rId1"/>
  <headerFooter>
    <oddHeader>&amp;R&amp;9&amp;D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17.25">
      <c r="A1" s="8" t="s">
        <v>117</v>
      </c>
    </row>
    <row r="2" spans="1:3" ht="13.5">
      <c r="C2" s="3" t="s">
        <v>50</v>
      </c>
    </row>
    <row r="3" spans="1:3" ht="22.5" customHeight="1">
      <c r="A3" s="23" t="s">
        <v>109</v>
      </c>
      <c r="B3" s="23" t="s">
        <v>113</v>
      </c>
      <c r="C3" s="23" t="s">
        <v>118</v>
      </c>
    </row>
    <row r="4" spans="1:3" ht="18" customHeight="1">
      <c r="A4" s="6" t="s">
        <v>119</v>
      </c>
      <c r="B4" s="25"/>
      <c r="C4" s="25"/>
    </row>
    <row r="5" spans="1:3" ht="18" customHeight="1">
      <c r="A5" s="6" t="s">
        <v>115</v>
      </c>
      <c r="B5" s="48">
        <v>270677139</v>
      </c>
      <c r="C5" s="25"/>
    </row>
    <row r="6" spans="1:3" ht="18" customHeight="1">
      <c r="A6" s="6" t="s">
        <v>116</v>
      </c>
      <c r="B6" s="48">
        <v>521000</v>
      </c>
      <c r="C6" s="25"/>
    </row>
    <row r="7" spans="1:3" ht="18" customHeight="1" thickBot="1">
      <c r="A7" s="53" t="s">
        <v>120</v>
      </c>
      <c r="B7" s="54">
        <f>+SUM(B5:B6)</f>
        <v>271198139</v>
      </c>
      <c r="C7" s="55">
        <v>0</v>
      </c>
    </row>
    <row r="8" spans="1:3" ht="18" customHeight="1" thickTop="1">
      <c r="A8" s="6" t="s">
        <v>121</v>
      </c>
      <c r="B8" s="25"/>
      <c r="C8" s="25"/>
    </row>
    <row r="9" spans="1:3" ht="18" customHeight="1">
      <c r="A9" s="56" t="s">
        <v>122</v>
      </c>
      <c r="B9" s="48">
        <v>288955063</v>
      </c>
      <c r="C9" s="57">
        <v>124254928</v>
      </c>
    </row>
    <row r="10" spans="1:3" ht="18" customHeight="1">
      <c r="A10" s="56" t="s">
        <v>123</v>
      </c>
      <c r="B10" s="48">
        <v>255343874</v>
      </c>
      <c r="C10" s="58"/>
    </row>
    <row r="11" spans="1:3" ht="18" customHeight="1">
      <c r="A11" s="56" t="s">
        <v>124</v>
      </c>
      <c r="B11" s="48">
        <v>9235326</v>
      </c>
      <c r="C11" s="58"/>
    </row>
    <row r="12" spans="1:3" ht="18" customHeight="1">
      <c r="A12" s="56" t="s">
        <v>125</v>
      </c>
      <c r="B12" s="48"/>
      <c r="C12" s="58"/>
    </row>
    <row r="13" spans="1:3" ht="18" customHeight="1">
      <c r="A13" s="56" t="s">
        <v>126</v>
      </c>
      <c r="B13" s="48">
        <v>80820033</v>
      </c>
      <c r="C13" s="58"/>
    </row>
    <row r="14" spans="1:3" ht="18" customHeight="1">
      <c r="A14" s="59" t="s">
        <v>127</v>
      </c>
      <c r="B14" s="48">
        <v>10098089</v>
      </c>
      <c r="C14" s="58"/>
    </row>
    <row r="15" spans="1:3" ht="18" customHeight="1">
      <c r="A15" s="59" t="s">
        <v>128</v>
      </c>
      <c r="B15" s="48">
        <v>2328672</v>
      </c>
      <c r="C15" s="58"/>
    </row>
    <row r="16" spans="1:3" ht="18" customHeight="1">
      <c r="A16" s="59" t="s">
        <v>129</v>
      </c>
      <c r="B16" s="48">
        <v>95650</v>
      </c>
      <c r="C16" s="58"/>
    </row>
    <row r="17" spans="1:3" ht="18" customHeight="1">
      <c r="A17" s="59" t="s">
        <v>130</v>
      </c>
      <c r="B17" s="48">
        <v>95830459</v>
      </c>
      <c r="C17" s="60"/>
    </row>
    <row r="18" spans="1:3" ht="18" customHeight="1" thickBot="1">
      <c r="A18" s="53" t="s">
        <v>120</v>
      </c>
      <c r="B18" s="54">
        <f>+SUM(B9:B17)</f>
        <v>742707166</v>
      </c>
      <c r="C18" s="54">
        <f>+C9</f>
        <v>124254928</v>
      </c>
    </row>
    <row r="19" spans="1:3" ht="18" customHeight="1" thickTop="1">
      <c r="A19" s="11" t="s">
        <v>39</v>
      </c>
      <c r="B19" s="61">
        <f>+B7+B18</f>
        <v>1013905305</v>
      </c>
      <c r="C19" s="61">
        <f>+C7+C18</f>
        <v>124254928</v>
      </c>
    </row>
  </sheetData>
  <mergeCells count="1">
    <mergeCell ref="C9:C17"/>
  </mergeCells>
  <phoneticPr fontId="4"/>
  <pageMargins left="1.1811023622047245" right="0.39370078740157483" top="0.59055118110236227" bottom="0.39370078740157483" header="0.19685039370078741" footer="0.19685039370078741"/>
  <pageSetup paperSize="9" orientation="portrait" r:id="rId1"/>
  <headerFooter>
    <oddHeader>&amp;R&amp;9&amp;D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8.875" defaultRowHeight="11.25"/>
  <cols>
    <col min="1" max="1" width="30.875" style="5" customWidth="1"/>
    <col min="2" max="3" width="19.875" style="5" customWidth="1"/>
    <col min="4" max="16384" width="8.875" style="5"/>
  </cols>
  <sheetData>
    <row r="1" spans="1:3" ht="17.25">
      <c r="A1" s="8" t="s">
        <v>131</v>
      </c>
    </row>
    <row r="2" spans="1:3" ht="13.5">
      <c r="C2" s="3" t="s">
        <v>50</v>
      </c>
    </row>
    <row r="3" spans="1:3" ht="22.5" customHeight="1">
      <c r="A3" s="23" t="s">
        <v>109</v>
      </c>
      <c r="B3" s="23" t="s">
        <v>113</v>
      </c>
      <c r="C3" s="23" t="s">
        <v>118</v>
      </c>
    </row>
    <row r="4" spans="1:3" ht="18" customHeight="1">
      <c r="A4" s="6" t="s">
        <v>132</v>
      </c>
      <c r="B4" s="25"/>
      <c r="C4" s="25"/>
    </row>
    <row r="5" spans="1:3" ht="18" customHeight="1">
      <c r="A5" s="6" t="s">
        <v>115</v>
      </c>
      <c r="B5" s="52">
        <v>5155710</v>
      </c>
      <c r="C5" s="52"/>
    </row>
    <row r="6" spans="1:3" ht="18" customHeight="1">
      <c r="A6" s="6" t="s">
        <v>116</v>
      </c>
      <c r="B6" s="52"/>
      <c r="C6" s="52"/>
    </row>
    <row r="7" spans="1:3" ht="18" customHeight="1" thickBot="1">
      <c r="A7" s="53" t="s">
        <v>120</v>
      </c>
      <c r="B7" s="62">
        <f>+SUM(B5:B6)</f>
        <v>5155710</v>
      </c>
      <c r="C7" s="55">
        <v>0</v>
      </c>
    </row>
    <row r="8" spans="1:3" ht="18" customHeight="1" thickTop="1">
      <c r="A8" s="6" t="s">
        <v>121</v>
      </c>
      <c r="B8" s="25"/>
      <c r="C8" s="25"/>
    </row>
    <row r="9" spans="1:3" ht="18" customHeight="1">
      <c r="A9" s="56" t="s">
        <v>122</v>
      </c>
      <c r="B9" s="48">
        <v>149928312</v>
      </c>
      <c r="C9" s="57">
        <v>3625871</v>
      </c>
    </row>
    <row r="10" spans="1:3" ht="18" customHeight="1">
      <c r="A10" s="56" t="s">
        <v>123</v>
      </c>
      <c r="B10" s="48">
        <v>108101793</v>
      </c>
      <c r="C10" s="58"/>
    </row>
    <row r="11" spans="1:3" ht="18" customHeight="1">
      <c r="A11" s="56" t="s">
        <v>124</v>
      </c>
      <c r="B11" s="52">
        <v>8770456</v>
      </c>
      <c r="C11" s="58"/>
    </row>
    <row r="12" spans="1:3" ht="18" customHeight="1">
      <c r="A12" s="56" t="s">
        <v>126</v>
      </c>
      <c r="B12" s="52">
        <v>21863938</v>
      </c>
      <c r="C12" s="58"/>
    </row>
    <row r="13" spans="1:3" ht="18" customHeight="1">
      <c r="A13" s="56" t="s">
        <v>127</v>
      </c>
      <c r="B13" s="52">
        <v>3638032</v>
      </c>
      <c r="C13" s="58"/>
    </row>
    <row r="14" spans="1:3" ht="18" customHeight="1">
      <c r="A14" s="59" t="s">
        <v>128</v>
      </c>
      <c r="B14" s="52">
        <v>210000</v>
      </c>
      <c r="C14" s="58"/>
    </row>
    <row r="15" spans="1:3" ht="18" customHeight="1">
      <c r="A15" s="59" t="s">
        <v>133</v>
      </c>
      <c r="B15" s="52">
        <v>115060</v>
      </c>
      <c r="C15" s="58"/>
    </row>
    <row r="16" spans="1:3" ht="18" customHeight="1">
      <c r="A16" s="63" t="s">
        <v>130</v>
      </c>
      <c r="B16" s="52">
        <v>24654583</v>
      </c>
      <c r="C16" s="60"/>
    </row>
    <row r="17" spans="1:3" ht="18" customHeight="1" thickBot="1">
      <c r="A17" s="53" t="s">
        <v>120</v>
      </c>
      <c r="B17" s="54">
        <f>+SUM(B9:B16)</f>
        <v>317282174</v>
      </c>
      <c r="C17" s="54">
        <f>+C9</f>
        <v>3625871</v>
      </c>
    </row>
    <row r="18" spans="1:3" ht="18" customHeight="1" thickTop="1">
      <c r="A18" s="11" t="s">
        <v>39</v>
      </c>
      <c r="B18" s="61">
        <f>+B7+B17</f>
        <v>322437884</v>
      </c>
      <c r="C18" s="61">
        <f>+C7+C17</f>
        <v>3625871</v>
      </c>
    </row>
  </sheetData>
  <mergeCells count="1">
    <mergeCell ref="C9:C16"/>
  </mergeCells>
  <phoneticPr fontId="4"/>
  <pageMargins left="1.1811023622047245" right="0.39370078740157483" top="0.59055118110236227" bottom="0.39370078740157483" header="0.19685039370078741" footer="0.19685039370078741"/>
  <pageSetup paperSize="9" orientation="portrait" r:id="rId1"/>
  <headerFooter>
    <oddHeader>&amp;R&amp;9&amp;D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115" zoomScaleNormal="115" workbookViewId="0">
      <selection activeCell="A2" sqref="A2"/>
    </sheetView>
  </sheetViews>
  <sheetFormatPr defaultColWidth="8.875" defaultRowHeight="11.2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17.25">
      <c r="A1" s="8" t="s">
        <v>134</v>
      </c>
    </row>
    <row r="2" spans="1:11" ht="17.25">
      <c r="A2" s="8" t="s">
        <v>135</v>
      </c>
      <c r="K2" s="3" t="s">
        <v>50</v>
      </c>
    </row>
    <row r="3" spans="1:11" ht="22.5" customHeight="1">
      <c r="A3" s="50" t="s">
        <v>91</v>
      </c>
      <c r="B3" s="64" t="s">
        <v>136</v>
      </c>
      <c r="C3" s="65"/>
      <c r="D3" s="50" t="s">
        <v>137</v>
      </c>
      <c r="E3" s="51" t="s">
        <v>138</v>
      </c>
      <c r="F3" s="50" t="s">
        <v>139</v>
      </c>
      <c r="G3" s="51" t="s">
        <v>140</v>
      </c>
      <c r="H3" s="64" t="s">
        <v>141</v>
      </c>
      <c r="I3" s="66"/>
      <c r="J3" s="67"/>
      <c r="K3" s="50" t="s">
        <v>95</v>
      </c>
    </row>
    <row r="4" spans="1:11" ht="22.5" customHeight="1">
      <c r="A4" s="50"/>
      <c r="B4" s="50"/>
      <c r="C4" s="68" t="s">
        <v>142</v>
      </c>
      <c r="D4" s="50"/>
      <c r="E4" s="50"/>
      <c r="F4" s="50"/>
      <c r="G4" s="50"/>
      <c r="H4" s="50"/>
      <c r="I4" s="23" t="s">
        <v>143</v>
      </c>
      <c r="J4" s="23" t="s">
        <v>144</v>
      </c>
      <c r="K4" s="50"/>
    </row>
    <row r="5" spans="1:11" ht="18" customHeight="1">
      <c r="A5" s="6" t="s">
        <v>145</v>
      </c>
      <c r="B5" s="69">
        <f>+SUM(D5:K5)</f>
        <v>11172838409</v>
      </c>
      <c r="C5" s="70">
        <f>+SUM(C6:C11)</f>
        <v>1278389054</v>
      </c>
      <c r="D5" s="71">
        <f>+SUM(D6:D11)</f>
        <v>2750648053</v>
      </c>
      <c r="E5" s="48">
        <f>+SUM(E6:E11)</f>
        <v>2283394465</v>
      </c>
      <c r="F5" s="48">
        <f>+SUM(F6:F11)</f>
        <v>785434000</v>
      </c>
      <c r="G5" s="48">
        <f>+SUM(G6:G11)</f>
        <v>501337332</v>
      </c>
      <c r="H5" s="48"/>
      <c r="I5" s="48"/>
      <c r="J5" s="48"/>
      <c r="K5" s="48">
        <f>+SUM(K6:K11)</f>
        <v>4852024559</v>
      </c>
    </row>
    <row r="6" spans="1:11" ht="18" customHeight="1">
      <c r="A6" s="6" t="s">
        <v>146</v>
      </c>
      <c r="B6" s="69">
        <f>+SUM(D6:K6)</f>
        <v>3109550344</v>
      </c>
      <c r="C6" s="70">
        <v>147001150</v>
      </c>
      <c r="D6" s="71">
        <v>822557366</v>
      </c>
      <c r="E6" s="48">
        <v>1243162500</v>
      </c>
      <c r="F6" s="48"/>
      <c r="G6" s="48">
        <v>41491690</v>
      </c>
      <c r="H6" s="48"/>
      <c r="I6" s="48"/>
      <c r="J6" s="48"/>
      <c r="K6" s="72">
        <f>1002338788</f>
        <v>1002338788</v>
      </c>
    </row>
    <row r="7" spans="1:11" ht="18" customHeight="1">
      <c r="A7" s="6" t="s">
        <v>147</v>
      </c>
      <c r="B7" s="69">
        <f>+SUM(D7:K7)</f>
        <v>95425259</v>
      </c>
      <c r="C7" s="70">
        <v>18530613</v>
      </c>
      <c r="D7" s="71">
        <v>95425259</v>
      </c>
      <c r="E7" s="48"/>
      <c r="F7" s="48"/>
      <c r="G7" s="48"/>
      <c r="H7" s="48"/>
      <c r="I7" s="48"/>
      <c r="J7" s="48"/>
      <c r="K7" s="72"/>
    </row>
    <row r="8" spans="1:11" ht="18" customHeight="1">
      <c r="A8" s="6" t="s">
        <v>148</v>
      </c>
      <c r="B8" s="69"/>
      <c r="C8" s="70"/>
      <c r="D8" s="71"/>
      <c r="E8" s="48"/>
      <c r="F8" s="48"/>
      <c r="G8" s="48"/>
      <c r="H8" s="48"/>
      <c r="I8" s="48"/>
      <c r="J8" s="48"/>
      <c r="K8" s="72"/>
    </row>
    <row r="9" spans="1:11" ht="18" customHeight="1">
      <c r="A9" s="6" t="s">
        <v>149</v>
      </c>
      <c r="B9" s="69">
        <f>+SUM(D9:K9)</f>
        <v>1687380206</v>
      </c>
      <c r="C9" s="70">
        <v>201421579</v>
      </c>
      <c r="D9" s="71">
        <v>1275041366</v>
      </c>
      <c r="E9" s="48">
        <v>167679968</v>
      </c>
      <c r="F9" s="48"/>
      <c r="G9" s="48">
        <v>121526332</v>
      </c>
      <c r="H9" s="48"/>
      <c r="I9" s="48"/>
      <c r="J9" s="48"/>
      <c r="K9" s="72">
        <f>123132540</f>
        <v>123132540</v>
      </c>
    </row>
    <row r="10" spans="1:11" ht="18" customHeight="1">
      <c r="A10" s="6" t="s">
        <v>150</v>
      </c>
      <c r="B10" s="69">
        <f>+SUM(D10:K10)</f>
        <v>5083747142</v>
      </c>
      <c r="C10" s="70">
        <v>645942396</v>
      </c>
      <c r="D10" s="71">
        <v>268176158</v>
      </c>
      <c r="E10" s="48">
        <v>872551997</v>
      </c>
      <c r="F10" s="48">
        <v>785434000</v>
      </c>
      <c r="G10" s="48">
        <v>338319310</v>
      </c>
      <c r="H10" s="48"/>
      <c r="I10" s="48"/>
      <c r="J10" s="48"/>
      <c r="K10" s="72">
        <f>2658979019+160286658</f>
        <v>2819265677</v>
      </c>
    </row>
    <row r="11" spans="1:11" ht="18" customHeight="1">
      <c r="A11" s="6" t="s">
        <v>151</v>
      </c>
      <c r="B11" s="69">
        <f t="shared" ref="B11:B16" si="0">+SUM(D11:K11)</f>
        <v>1196735458</v>
      </c>
      <c r="C11" s="70">
        <f>266051229-557913</f>
        <v>265493316</v>
      </c>
      <c r="D11" s="71">
        <v>289447904</v>
      </c>
      <c r="E11" s="71"/>
      <c r="F11" s="71"/>
      <c r="G11" s="71"/>
      <c r="H11" s="48"/>
      <c r="I11" s="48"/>
      <c r="J11" s="48"/>
      <c r="K11" s="71">
        <f>907287554</f>
        <v>907287554</v>
      </c>
    </row>
    <row r="12" spans="1:11" ht="18" customHeight="1">
      <c r="A12" s="6" t="s">
        <v>152</v>
      </c>
      <c r="B12" s="69">
        <f>+SUM(D12:K12)</f>
        <v>22814555118</v>
      </c>
      <c r="C12" s="70">
        <f>+SUM(C13:C16)</f>
        <v>1792130467</v>
      </c>
      <c r="D12" s="71">
        <f>+SUM(D13:D16)</f>
        <v>19413591190</v>
      </c>
      <c r="E12" s="48">
        <f>+SUM(E13:E16)</f>
        <v>3390076005</v>
      </c>
      <c r="F12" s="48"/>
      <c r="G12" s="48"/>
      <c r="H12" s="48"/>
      <c r="I12" s="48"/>
      <c r="J12" s="48"/>
      <c r="K12" s="48">
        <f>+SUM(K13:K16)</f>
        <v>10887923</v>
      </c>
    </row>
    <row r="13" spans="1:11" ht="18" customHeight="1">
      <c r="A13" s="6" t="s">
        <v>153</v>
      </c>
      <c r="B13" s="69">
        <f t="shared" si="0"/>
        <v>22079967257</v>
      </c>
      <c r="C13" s="70">
        <v>1615281806</v>
      </c>
      <c r="D13" s="71">
        <v>18689891252</v>
      </c>
      <c r="E13" s="48">
        <v>3390076005</v>
      </c>
      <c r="F13" s="48"/>
      <c r="G13" s="48"/>
      <c r="H13" s="48"/>
      <c r="I13" s="48"/>
      <c r="J13" s="48"/>
      <c r="K13" s="72"/>
    </row>
    <row r="14" spans="1:11" ht="18" customHeight="1">
      <c r="A14" s="6" t="s">
        <v>154</v>
      </c>
      <c r="B14" s="69">
        <f t="shared" si="0"/>
        <v>612148971</v>
      </c>
      <c r="C14" s="70">
        <v>144536143</v>
      </c>
      <c r="D14" s="71">
        <v>612148971</v>
      </c>
      <c r="E14" s="48"/>
      <c r="F14" s="48"/>
      <c r="G14" s="48"/>
      <c r="H14" s="48"/>
      <c r="I14" s="48"/>
      <c r="J14" s="48"/>
      <c r="K14" s="72"/>
    </row>
    <row r="15" spans="1:11" ht="18" customHeight="1">
      <c r="A15" s="6" t="s">
        <v>155</v>
      </c>
      <c r="B15" s="69"/>
      <c r="C15" s="70"/>
      <c r="D15" s="71"/>
      <c r="E15" s="48"/>
      <c r="F15" s="48"/>
      <c r="G15" s="48"/>
      <c r="H15" s="48"/>
      <c r="I15" s="48"/>
      <c r="J15" s="48"/>
      <c r="K15" s="72"/>
    </row>
    <row r="16" spans="1:11" ht="18" customHeight="1">
      <c r="A16" s="6" t="s">
        <v>151</v>
      </c>
      <c r="B16" s="69">
        <f t="shared" si="0"/>
        <v>122438890</v>
      </c>
      <c r="C16" s="70">
        <v>32312518</v>
      </c>
      <c r="D16" s="71">
        <v>111550967</v>
      </c>
      <c r="E16" s="48"/>
      <c r="F16" s="48"/>
      <c r="G16" s="48"/>
      <c r="H16" s="48"/>
      <c r="I16" s="48"/>
      <c r="J16" s="48"/>
      <c r="K16" s="72">
        <f>10266670+621253</f>
        <v>10887923</v>
      </c>
    </row>
    <row r="17" spans="1:11" ht="18" customHeight="1">
      <c r="A17" s="11" t="s">
        <v>156</v>
      </c>
      <c r="B17" s="73">
        <f>+B5+B12</f>
        <v>33987393527</v>
      </c>
      <c r="C17" s="70">
        <f t="shared" ref="C17:G17" si="1">+C5+C12</f>
        <v>3070519521</v>
      </c>
      <c r="D17" s="71">
        <f>+D5+D12</f>
        <v>22164239243</v>
      </c>
      <c r="E17" s="48">
        <f t="shared" si="1"/>
        <v>5673470470</v>
      </c>
      <c r="F17" s="48">
        <f>+F5+F12</f>
        <v>785434000</v>
      </c>
      <c r="G17" s="48">
        <f t="shared" si="1"/>
        <v>501337332</v>
      </c>
      <c r="H17" s="48">
        <v>0</v>
      </c>
      <c r="I17" s="48">
        <v>0</v>
      </c>
      <c r="J17" s="48">
        <v>0</v>
      </c>
      <c r="K17" s="72">
        <f>+K5+K12</f>
        <v>4862912482</v>
      </c>
    </row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4"/>
  <pageMargins left="0.39370078740157483" right="0.39370078740157483" top="1.1811023622047245" bottom="0.39370078740157483" header="0.19685039370078741" footer="0.19685039370078741"/>
  <pageSetup paperSize="9" scale="74" fitToHeight="0" orientation="landscape" r:id="rId1"/>
  <headerFooter>
    <oddHeader>&amp;R&amp;9&amp;D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workbookViewId="0">
      <selection activeCell="A3" sqref="A3"/>
    </sheetView>
  </sheetViews>
  <sheetFormatPr defaultColWidth="8.875" defaultRowHeight="11.25"/>
  <cols>
    <col min="1" max="1" width="22.875" style="5" customWidth="1"/>
    <col min="2" max="8" width="13.5" style="5" customWidth="1"/>
    <col min="9" max="9" width="12.875" style="5" customWidth="1"/>
    <col min="10" max="16384" width="8.875" style="5"/>
  </cols>
  <sheetData>
    <row r="1" spans="1:9" ht="17.25">
      <c r="A1" s="8" t="s">
        <v>157</v>
      </c>
    </row>
    <row r="2" spans="1:9" ht="18.75">
      <c r="I2" s="3" t="s">
        <v>50</v>
      </c>
    </row>
    <row r="3" spans="1:9" ht="37.5" customHeight="1">
      <c r="A3" s="68" t="s">
        <v>136</v>
      </c>
      <c r="B3" s="23" t="s">
        <v>158</v>
      </c>
      <c r="C3" s="24" t="s">
        <v>159</v>
      </c>
      <c r="D3" s="24" t="s">
        <v>160</v>
      </c>
      <c r="E3" s="24" t="s">
        <v>161</v>
      </c>
      <c r="F3" s="24" t="s">
        <v>162</v>
      </c>
      <c r="G3" s="24" t="s">
        <v>163</v>
      </c>
      <c r="H3" s="23" t="s">
        <v>164</v>
      </c>
      <c r="I3" s="24" t="s">
        <v>165</v>
      </c>
    </row>
    <row r="4" spans="1:9" ht="18" customHeight="1">
      <c r="A4" s="74">
        <f>B4+C4+D4+E4+F4+G4+H4</f>
        <v>33987393527</v>
      </c>
      <c r="B4" s="75">
        <v>32340730598</v>
      </c>
      <c r="C4" s="75">
        <v>1514034042</v>
      </c>
      <c r="D4" s="75">
        <v>93776161</v>
      </c>
      <c r="E4" s="75">
        <v>7551311</v>
      </c>
      <c r="F4" s="75">
        <v>27683915</v>
      </c>
      <c r="G4" s="75">
        <v>3617500</v>
      </c>
      <c r="H4" s="75"/>
      <c r="I4" s="76">
        <f>161113499/A4</f>
        <v>4.740389958765431E-3</v>
      </c>
    </row>
  </sheetData>
  <phoneticPr fontId="4"/>
  <pageMargins left="0.39370078740157483" right="0.39370078740157483" top="1.1811023622047245" bottom="0.39370078740157483" header="0.19685039370078741" footer="0.19685039370078741"/>
  <pageSetup paperSize="9" scale="98" orientation="landscape" r:id="rId1"/>
  <headerFooter>
    <oddHeader>&amp;R&amp;9&amp;D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井川 健太郎</cp:lastModifiedBy>
  <cp:lastPrinted>2020-03-23T09:38:42Z</cp:lastPrinted>
  <dcterms:modified xsi:type="dcterms:W3CDTF">2020-03-25T23:37:09Z</dcterms:modified>
</cp:coreProperties>
</file>